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2995" windowHeight="14325" activeTab="0"/>
  </bookViews>
  <sheets>
    <sheet name="TrueCost" sheetId="1" r:id="rId1"/>
    <sheet name="Rebates&amp;SREC" sheetId="2" r:id="rId2"/>
  </sheets>
  <definedNames>
    <definedName name="solver_adj" localSheetId="1" hidden="1">'Rebates&amp;SREC'!$C$6</definedName>
    <definedName name="solver_adj" localSheetId="0" hidden="1">'TrueCost'!#REF!</definedName>
    <definedName name="solver_cvg" localSheetId="1" hidden="1">0.0001</definedName>
    <definedName name="solver_cvg" localSheetId="0" hidden="1">0.0001</definedName>
    <definedName name="solver_drv" localSheetId="1" hidden="1">2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'Rebates&amp;SREC'!$L$3</definedName>
    <definedName name="solver_opt" localSheetId="0" hidden="1">'TrueCost'!$C$31</definedName>
    <definedName name="solver_pre" localSheetId="1" hidden="1">0.000001</definedName>
    <definedName name="solver_pre" localSheetId="0" hidden="1">0.000001</definedName>
    <definedName name="solver_rbv" localSheetId="1" hidden="1">2</definedName>
    <definedName name="solver_rbv" localSheetId="0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2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0.2</definedName>
    <definedName name="solver_ver" localSheetId="1" hidden="1">3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<sst xmlns="http://schemas.openxmlformats.org/spreadsheetml/2006/main" count="75" uniqueCount="51">
  <si>
    <t>Cost/peak kW</t>
  </si>
  <si>
    <t xml:space="preserve">Actual kW factor: </t>
  </si>
  <si>
    <t xml:space="preserve">Decline in efficiency of the solar panels: </t>
  </si>
  <si>
    <t xml:space="preserve">Actual panel power output for full sunshine: </t>
  </si>
  <si>
    <t>~70%</t>
  </si>
  <si>
    <t xml:space="preserve">Average sunshine hours per day for a year: </t>
  </si>
  <si>
    <t>~4.5 hours in Blacksburg VA</t>
  </si>
  <si>
    <t>Peak kW</t>
  </si>
  <si>
    <t>Loan rate</t>
  </si>
  <si>
    <t>Grid energy initial rate</t>
  </si>
  <si>
    <t>Grid rate increase</t>
  </si>
  <si>
    <t>Year</t>
  </si>
  <si>
    <t>Inverter cost</t>
  </si>
  <si>
    <t>Cost</t>
  </si>
  <si>
    <t>PV energy</t>
  </si>
  <si>
    <t>Loan cost</t>
  </si>
  <si>
    <t>Total</t>
  </si>
  <si>
    <t>PV kW decline/year</t>
  </si>
  <si>
    <t>PV saved</t>
  </si>
  <si>
    <t>Rebate</t>
  </si>
  <si>
    <t>SREC</t>
  </si>
  <si>
    <t>SREC/kWh</t>
  </si>
  <si>
    <t>Loan Period (years)</t>
  </si>
  <si>
    <t>Sun hours per day over year</t>
  </si>
  <si>
    <t>Deprec</t>
  </si>
  <si>
    <t>Net:</t>
  </si>
  <si>
    <t>Yearly Payout</t>
  </si>
  <si>
    <t>Total Payout</t>
  </si>
  <si>
    <t>Therefore, PV Decline/year:</t>
  </si>
  <si>
    <t xml:space="preserve">~80% of original in 25 years </t>
  </si>
  <si>
    <t>Parameters:</t>
  </si>
  <si>
    <t>Cost of solar PV</t>
  </si>
  <si>
    <t>Replace inverter loan years</t>
  </si>
  <si>
    <t>Rebates</t>
  </si>
  <si>
    <t>Assumes that loan is for cost - rebates</t>
  </si>
  <si>
    <t>tax rate for 5-year depreciation</t>
  </si>
  <si>
    <t>http://www.nrel.gov/rredc/pvwatts/changing_parameters.html</t>
  </si>
  <si>
    <t>Change only data in column C</t>
  </si>
  <si>
    <t>Down Payment</t>
  </si>
  <si>
    <t>Loan Amount</t>
  </si>
  <si>
    <t>Assumes that loan is for cost</t>
  </si>
  <si>
    <t xml:space="preserve"> - down payment - rebates</t>
  </si>
  <si>
    <t>Down payment %</t>
  </si>
  <si>
    <t>Rebates %</t>
  </si>
  <si>
    <t>SRECs</t>
  </si>
  <si>
    <t>Depreciation Tax Savings</t>
  </si>
  <si>
    <t>Tax rate for 5-year depreciation</t>
  </si>
  <si>
    <t>$ saved</t>
  </si>
  <si>
    <t>wind energy (kWh)</t>
  </si>
  <si>
    <t>Cost of wind energy</t>
  </si>
  <si>
    <t>Replace inverter every 15 years.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</si>
</sst>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6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44" fillId="0" borderId="0" xfId="0" applyFont="1" applyAlignment="1">
      <alignment/>
    </xf>
    <xf numFmtId="6" fontId="41" fillId="0" borderId="0" xfId="0" applyNumberFormat="1" applyFont="1" applyAlignment="1">
      <alignment horizontal="center"/>
    </xf>
    <xf numFmtId="6" fontId="0" fillId="0" borderId="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66" fontId="0" fillId="0" borderId="0" xfId="0" applyNumberFormat="1" applyAlignment="1">
      <alignment horizontal="left"/>
    </xf>
    <xf numFmtId="0" fontId="35" fillId="0" borderId="0" xfId="53" applyAlignment="1">
      <alignment/>
    </xf>
    <xf numFmtId="0" fontId="0" fillId="0" borderId="0" xfId="0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172" fontId="42" fillId="0" borderId="11" xfId="0" applyNumberFormat="1" applyFont="1" applyBorder="1" applyAlignment="1">
      <alignment horizontal="center"/>
    </xf>
    <xf numFmtId="172" fontId="42" fillId="0" borderId="11" xfId="0" applyNumberFormat="1" applyFon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165" fontId="42" fillId="0" borderId="11" xfId="0" applyNumberFormat="1" applyFont="1" applyBorder="1" applyAlignment="1" applyProtection="1">
      <alignment horizontal="center"/>
      <protection locked="0"/>
    </xf>
    <xf numFmtId="6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9" fontId="42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38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6" fontId="41" fillId="0" borderId="10" xfId="0" applyNumberFormat="1" applyFont="1" applyBorder="1" applyAlignment="1">
      <alignment horizontal="center"/>
    </xf>
    <xf numFmtId="38" fontId="0" fillId="0" borderId="1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Small Wind Payout (True Cost)</a:t>
            </a:r>
          </a:p>
        </c:rich>
      </c:tx>
      <c:layout>
        <c:manualLayout>
          <c:xMode val="factor"/>
          <c:yMode val="factor"/>
          <c:x val="0.11675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7625"/>
          <c:w val="0.976"/>
          <c:h val="0.92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TrueCost!$P$3:$P$47</c:f>
              <c:numCache/>
            </c:numRef>
          </c:xVal>
          <c:yVal>
            <c:numRef>
              <c:f>TrueCost!$O$3:$O$47</c:f>
              <c:numCache/>
            </c:numRef>
          </c:yVal>
          <c:smooth val="1"/>
        </c:ser>
        <c:axId val="38723256"/>
        <c:axId val="12964985"/>
      </c:scatterChart>
      <c:valAx>
        <c:axId val="38723256"/>
        <c:scaling>
          <c:orientation val="minMax"/>
          <c:max val="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64985"/>
        <c:crosses val="autoZero"/>
        <c:crossBetween val="midCat"/>
        <c:dispUnits/>
        <c:majorUnit val="5"/>
      </c:valAx>
      <c:valAx>
        <c:axId val="129649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32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PV Payout (With Rebates &amp; SRECs)</a:t>
            </a:r>
          </a:p>
        </c:rich>
      </c:tx>
      <c:layout>
        <c:manualLayout>
          <c:xMode val="factor"/>
          <c:yMode val="factor"/>
          <c:x val="0.053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6325"/>
          <c:w val="0.976"/>
          <c:h val="0.93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'Rebates&amp;SREC'!$N$2</c:f>
              <c:strCache>
                <c:ptCount val="1"/>
                <c:pt idx="0">
                  <c:v>Year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'Rebates&amp;SREC'!$N$3:$N$47</c:f>
              <c:numCache/>
            </c:numRef>
          </c:xVal>
          <c:yVal>
            <c:numRef>
              <c:f>'Rebates&amp;SREC'!$M$3:$M$47</c:f>
              <c:numCache/>
            </c:numRef>
          </c:yVal>
          <c:smooth val="1"/>
        </c:ser>
        <c:axId val="49576002"/>
        <c:axId val="43530835"/>
      </c:scatterChart>
      <c:valAx>
        <c:axId val="49576002"/>
        <c:scaling>
          <c:orientation val="minMax"/>
          <c:max val="4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30835"/>
        <c:crosses val="autoZero"/>
        <c:crossBetween val="midCat"/>
        <c:dispUnits/>
        <c:majorUnit val="5"/>
      </c:valAx>
      <c:valAx>
        <c:axId val="435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60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16</xdr:row>
      <xdr:rowOff>142875</xdr:rowOff>
    </xdr:from>
    <xdr:to>
      <xdr:col>12</xdr:col>
      <xdr:colOff>276225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086100" y="3619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257175</xdr:colOff>
      <xdr:row>0</xdr:row>
      <xdr:rowOff>209550</xdr:rowOff>
    </xdr:from>
    <xdr:to>
      <xdr:col>2</xdr:col>
      <xdr:colOff>257175</xdr:colOff>
      <xdr:row>2</xdr:row>
      <xdr:rowOff>47625</xdr:rowOff>
    </xdr:to>
    <xdr:sp>
      <xdr:nvSpPr>
        <xdr:cNvPr id="2" name="Straight Arrow Connector 2"/>
        <xdr:cNvSpPr>
          <a:spLocks/>
        </xdr:cNvSpPr>
      </xdr:nvSpPr>
      <xdr:spPr>
        <a:xfrm>
          <a:off x="1943100" y="209550"/>
          <a:ext cx="0" cy="647700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3</xdr:row>
      <xdr:rowOff>142875</xdr:rowOff>
    </xdr:from>
    <xdr:to>
      <xdr:col>22</xdr:col>
      <xdr:colOff>133350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9039225" y="771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0</xdr:row>
      <xdr:rowOff>190500</xdr:rowOff>
    </xdr:from>
    <xdr:to>
      <xdr:col>2</xdr:col>
      <xdr:colOff>238125</xdr:colOff>
      <xdr:row>2</xdr:row>
      <xdr:rowOff>28575</xdr:rowOff>
    </xdr:to>
    <xdr:sp>
      <xdr:nvSpPr>
        <xdr:cNvPr id="2" name="Straight Arrow Connector 2"/>
        <xdr:cNvSpPr>
          <a:spLocks/>
        </xdr:cNvSpPr>
      </xdr:nvSpPr>
      <xdr:spPr>
        <a:xfrm>
          <a:off x="2114550" y="190500"/>
          <a:ext cx="0" cy="276225"/>
        </a:xfrm>
        <a:prstGeom prst="straightConnector1">
          <a:avLst/>
        </a:prstGeom>
        <a:noFill/>
        <a:ln w="28575" cmpd="sng">
          <a:solidFill>
            <a:srgbClr val="BE4B48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rel.gov/rredc/pvwatts/changing_parameters.html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7.28125" style="0" customWidth="1"/>
    <col min="4" max="4" width="5.421875" style="2" bestFit="1" customWidth="1"/>
    <col min="5" max="5" width="8.57421875" style="2" bestFit="1" customWidth="1"/>
    <col min="6" max="8" width="8.57421875" style="2" customWidth="1"/>
    <col min="9" max="9" width="10.00390625" style="42" bestFit="1" customWidth="1"/>
    <col min="10" max="10" width="10.140625" style="0" bestFit="1" customWidth="1"/>
    <col min="11" max="11" width="9.140625" style="0" bestFit="1" customWidth="1"/>
    <col min="12" max="13" width="9.140625" style="0" customWidth="1"/>
    <col min="14" max="14" width="12.00390625" style="0" customWidth="1"/>
    <col min="15" max="15" width="11.140625" style="0" customWidth="1"/>
    <col min="16" max="16" width="5.421875" style="2" bestFit="1" customWidth="1"/>
    <col min="17" max="26" width="5.57421875" style="0" bestFit="1" customWidth="1"/>
    <col min="27" max="27" width="5.421875" style="2" bestFit="1" customWidth="1"/>
  </cols>
  <sheetData>
    <row r="1" spans="1:33" ht="18.75">
      <c r="A1" s="45" t="s">
        <v>49</v>
      </c>
      <c r="B1" s="36"/>
      <c r="C1" s="46" t="s">
        <v>37</v>
      </c>
      <c r="G1" s="25"/>
      <c r="H1" s="25"/>
      <c r="I1" s="65"/>
      <c r="J1" s="25"/>
      <c r="K1" s="64"/>
      <c r="L1" s="64"/>
      <c r="M1" s="64"/>
      <c r="N1" s="64"/>
      <c r="O1" s="66"/>
      <c r="P1" s="25"/>
      <c r="Q1" s="66"/>
      <c r="R1" s="66"/>
      <c r="S1" s="66"/>
      <c r="T1" s="66"/>
      <c r="U1" s="7"/>
      <c r="V1" s="7"/>
      <c r="W1" s="7"/>
      <c r="X1" s="7"/>
      <c r="Y1" s="7"/>
      <c r="Z1" s="7"/>
      <c r="AA1" s="8"/>
      <c r="AB1" s="9"/>
      <c r="AC1" s="9"/>
      <c r="AD1" s="9"/>
      <c r="AE1" s="9"/>
      <c r="AF1" s="9"/>
      <c r="AG1" s="9"/>
    </row>
    <row r="2" spans="1:33" s="2" customFormat="1" ht="45">
      <c r="A2" s="47" t="s">
        <v>30</v>
      </c>
      <c r="B2" s="44"/>
      <c r="C2" s="48"/>
      <c r="D2" s="44" t="s">
        <v>11</v>
      </c>
      <c r="E2" s="53" t="s">
        <v>13</v>
      </c>
      <c r="F2" s="31" t="s">
        <v>38</v>
      </c>
      <c r="G2" s="30" t="s">
        <v>33</v>
      </c>
      <c r="H2" s="32" t="s">
        <v>39</v>
      </c>
      <c r="I2" s="55" t="s">
        <v>48</v>
      </c>
      <c r="J2" s="56" t="s">
        <v>47</v>
      </c>
      <c r="K2" s="30" t="s">
        <v>15</v>
      </c>
      <c r="L2" s="30" t="s">
        <v>44</v>
      </c>
      <c r="M2" s="32" t="s">
        <v>45</v>
      </c>
      <c r="N2" s="32" t="s">
        <v>26</v>
      </c>
      <c r="O2" s="57" t="s">
        <v>27</v>
      </c>
      <c r="P2" s="30" t="s">
        <v>11</v>
      </c>
      <c r="Q2" s="33"/>
      <c r="R2" s="8"/>
      <c r="S2" s="8"/>
      <c r="T2" s="8"/>
      <c r="U2" s="10"/>
      <c r="V2" s="10"/>
      <c r="W2" s="10"/>
      <c r="X2" s="10"/>
      <c r="Y2" s="10"/>
      <c r="Z2" s="10"/>
      <c r="AA2" s="8"/>
      <c r="AB2" s="8"/>
      <c r="AC2" s="8"/>
      <c r="AD2" s="8"/>
      <c r="AE2" s="8"/>
      <c r="AF2" s="8"/>
      <c r="AG2" s="8"/>
    </row>
    <row r="3" spans="1:33" ht="15">
      <c r="A3" s="36" t="s">
        <v>7</v>
      </c>
      <c r="B3" s="36"/>
      <c r="C3" s="49">
        <v>4</v>
      </c>
      <c r="D3" s="44">
        <v>1</v>
      </c>
      <c r="E3" s="54">
        <f>+C7*C3</f>
        <v>28000</v>
      </c>
      <c r="F3" s="34">
        <f>+E3*C5</f>
        <v>5600</v>
      </c>
      <c r="G3" s="34">
        <f>+E3*C11</f>
        <v>8400</v>
      </c>
      <c r="H3" s="35">
        <f>+E3*(1-C5)-G3</f>
        <v>14000</v>
      </c>
      <c r="I3" s="58">
        <f>+$C$3*$C$8*24*365.25</f>
        <v>10519.199999999999</v>
      </c>
      <c r="J3" s="34">
        <f>+I3*$C$9</f>
        <v>1051.9199999999998</v>
      </c>
      <c r="K3" s="41">
        <f>IF($C$4&gt;1,IF(D3&lt;=$C$4,-PMT($C$6,$C$4,$H$3),0),IF(D3&gt;1,0,$H$3))+IF($C$14&gt;1,IF(AND(D3&gt;14,D3&lt;=14+$C$14),-PMT($C$6,$C$14,$E$17),0),IF(D3=15,$E$17,0))+IF($C$14&gt;1,IF(AND(D3&gt;29,D3&lt;=29+$C$14),-PMT($C$6,$C$14,$E$17),0),IF(D3=30,$E$32,0))</f>
        <v>3233.6471737957536</v>
      </c>
      <c r="L3" s="41">
        <f>+$C$12*I3</f>
        <v>3155.7599999999998</v>
      </c>
      <c r="M3" s="41">
        <f>+$E$3*$C$13/5</f>
        <v>1120</v>
      </c>
      <c r="N3" s="41">
        <f>J3-K3+L3+M3-F3</f>
        <v>-3505.9671737957538</v>
      </c>
      <c r="O3" s="59">
        <f>+N3</f>
        <v>-3505.9671737957538</v>
      </c>
      <c r="P3" s="44">
        <v>1</v>
      </c>
      <c r="Q3" s="14"/>
      <c r="R3" s="7"/>
      <c r="S3" s="7"/>
      <c r="T3" s="7"/>
      <c r="U3" s="8"/>
      <c r="V3" s="8"/>
      <c r="W3" s="8"/>
      <c r="X3" s="8"/>
      <c r="Y3" s="8"/>
      <c r="Z3" s="8"/>
      <c r="AA3" s="8"/>
      <c r="AB3" s="9"/>
      <c r="AC3" s="9"/>
      <c r="AD3" s="9"/>
      <c r="AE3" s="9"/>
      <c r="AF3" s="9"/>
      <c r="AG3" s="9"/>
    </row>
    <row r="4" spans="1:33" ht="15">
      <c r="A4" s="36" t="s">
        <v>22</v>
      </c>
      <c r="B4" s="36"/>
      <c r="C4" s="49">
        <v>5</v>
      </c>
      <c r="D4" s="44">
        <v>2</v>
      </c>
      <c r="E4" s="22" t="s">
        <v>40</v>
      </c>
      <c r="G4" s="6"/>
      <c r="H4" s="6"/>
      <c r="I4" s="58">
        <f aca="true" t="shared" si="0" ref="I4:I47">+$C$3*$C$8*24*365.25</f>
        <v>10519.199999999999</v>
      </c>
      <c r="J4" s="34">
        <f>+I4*$C$9*(1+$C$10)^D3</f>
        <v>1115.0351999999998</v>
      </c>
      <c r="K4" s="41">
        <f>IF($C$4&gt;1,IF(D4&lt;=$C$4,-PMT($C$6,$C$4,$H$3),0),IF(D4&gt;1,0,$H$3))+IF($C$14&gt;1,IF(AND(D4&gt;14,D4&lt;=14+$C$14),-PMT($C$6,$C$14,$E$17),0),IF(D4=15,$E$17,0))+IF($C$14&gt;1,IF(AND(D4&gt;29,D4&lt;=29+$C$14),-PMT($C$6,$C$14,$E$17),0),IF(D4=30,$E$32,0))</f>
        <v>3233.6471737957536</v>
      </c>
      <c r="L4" s="41">
        <f>+$C$12*I4</f>
        <v>3155.7599999999998</v>
      </c>
      <c r="M4" s="41">
        <f>+$E$3*$C$13/5</f>
        <v>1120</v>
      </c>
      <c r="N4" s="41">
        <f aca="true" t="shared" si="1" ref="N4:N47">J4-K4+L4+M4</f>
        <v>2157.148026204246</v>
      </c>
      <c r="O4" s="59">
        <f>+O3+N4</f>
        <v>-1348.8191475915078</v>
      </c>
      <c r="P4" s="44">
        <v>2</v>
      </c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9"/>
      <c r="AD4" s="9"/>
      <c r="AE4" s="9"/>
      <c r="AF4" s="9"/>
      <c r="AG4" s="9"/>
    </row>
    <row r="5" spans="1:33" ht="15">
      <c r="A5" s="36" t="s">
        <v>42</v>
      </c>
      <c r="B5" s="36"/>
      <c r="C5" s="37">
        <v>0.2</v>
      </c>
      <c r="D5" s="44">
        <v>3</v>
      </c>
      <c r="E5" s="22" t="s">
        <v>41</v>
      </c>
      <c r="G5" s="6"/>
      <c r="H5" s="6"/>
      <c r="I5" s="58">
        <f t="shared" si="0"/>
        <v>10519.199999999999</v>
      </c>
      <c r="J5" s="34">
        <f>+I5*$C$9*(1+$C$10)^D4</f>
        <v>1181.937312</v>
      </c>
      <c r="K5" s="41">
        <f>IF($C$4&gt;1,IF(D5&lt;=$C$4,-PMT($C$6,$C$4,$H$3),0),IF(D5&gt;1,0,$H$3))+IF($C$14&gt;1,IF(AND(D5&gt;14,D5&lt;=14+$C$14),-PMT($C$6,$C$14,$E$17),0),IF(D5=15,$E$17,0))+IF($C$14&gt;1,IF(AND(D5&gt;29,D5&lt;=29+$C$14),-PMT($C$6,$C$14,$E$17),0),IF(D5=30,$E$32,0))</f>
        <v>3233.6471737957536</v>
      </c>
      <c r="L5" s="41">
        <f>+$C$12*I5</f>
        <v>3155.7599999999998</v>
      </c>
      <c r="M5" s="41">
        <f>+$E$3*$C$13/5</f>
        <v>1120</v>
      </c>
      <c r="N5" s="41">
        <f t="shared" si="1"/>
        <v>2224.050138204246</v>
      </c>
      <c r="O5" s="59">
        <f aca="true" t="shared" si="2" ref="O5:O47">+O4+N5</f>
        <v>875.2309906127384</v>
      </c>
      <c r="P5" s="44">
        <v>3</v>
      </c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9"/>
      <c r="AD5" s="9"/>
      <c r="AE5" s="9"/>
      <c r="AF5" s="9"/>
      <c r="AG5" s="9"/>
    </row>
    <row r="6" spans="1:33" ht="15">
      <c r="A6" s="36" t="s">
        <v>8</v>
      </c>
      <c r="B6" s="36"/>
      <c r="C6" s="50">
        <v>0.05</v>
      </c>
      <c r="D6" s="44">
        <v>4</v>
      </c>
      <c r="E6" s="3"/>
      <c r="F6" s="3"/>
      <c r="G6" s="3"/>
      <c r="H6" s="3"/>
      <c r="I6" s="58">
        <f t="shared" si="0"/>
        <v>10519.199999999999</v>
      </c>
      <c r="J6" s="34">
        <f>+I6*$C$9*(1+$C$10)^D5</f>
        <v>1252.8535507200002</v>
      </c>
      <c r="K6" s="41">
        <f>IF($C$4&gt;1,IF(D6&lt;=$C$4,-PMT($C$6,$C$4,$H$3),0),IF(D6&gt;1,0,$H$3))+IF($C$14&gt;1,IF(AND(D6&gt;14,D6&lt;=14+$C$14),-PMT($C$6,$C$14,$E$17),0),IF(D6=15,$E$17,0))+IF($C$14&gt;1,IF(AND(D6&gt;29,D6&lt;=29+$C$14),-PMT($C$6,$C$14,$E$17),0),IF(D6=30,$E$32,0))</f>
        <v>3233.6471737957536</v>
      </c>
      <c r="L6" s="41">
        <f>+$C$12*I6</f>
        <v>3155.7599999999998</v>
      </c>
      <c r="M6" s="41">
        <f>+$E$3*$C$13/5</f>
        <v>1120</v>
      </c>
      <c r="N6" s="41">
        <f t="shared" si="1"/>
        <v>2294.966376924246</v>
      </c>
      <c r="O6" s="59">
        <f t="shared" si="2"/>
        <v>3170.1973675369845</v>
      </c>
      <c r="P6" s="44">
        <v>4</v>
      </c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</row>
    <row r="7" spans="1:33" ht="15">
      <c r="A7" s="36" t="s">
        <v>0</v>
      </c>
      <c r="B7" s="36"/>
      <c r="C7" s="51">
        <v>7000</v>
      </c>
      <c r="D7" s="44">
        <v>5</v>
      </c>
      <c r="E7" s="3"/>
      <c r="F7" s="3"/>
      <c r="G7" s="3"/>
      <c r="H7" s="3"/>
      <c r="I7" s="58">
        <f t="shared" si="0"/>
        <v>10519.199999999999</v>
      </c>
      <c r="J7" s="34">
        <f>+I7*$C$9*(1+$C$10)^D6</f>
        <v>1328.0247637632</v>
      </c>
      <c r="K7" s="41">
        <f>IF($C$4&gt;1,IF(D7&lt;=$C$4,-PMT($C$6,$C$4,$H$3),0),IF(D7&gt;1,0,$H$3))+IF($C$14&gt;1,IF(AND(D7&gt;14,D7&lt;=14+$C$14),-PMT($C$6,$C$14,$E$17),0),IF(D7=15,$E$17,0))+IF($C$14&gt;1,IF(AND(D7&gt;29,D7&lt;=29+$C$14),-PMT($C$6,$C$14,$E$17),0),IF(D7=30,$E$32,0))</f>
        <v>3233.6471737957536</v>
      </c>
      <c r="L7" s="41">
        <f>+$C$12*I7</f>
        <v>3155.7599999999998</v>
      </c>
      <c r="M7" s="41">
        <f>+$E$3*$C$13/5</f>
        <v>1120</v>
      </c>
      <c r="N7" s="41">
        <f t="shared" si="1"/>
        <v>2370.1375899674463</v>
      </c>
      <c r="O7" s="59">
        <f t="shared" si="2"/>
        <v>5540.33495750443</v>
      </c>
      <c r="P7" s="44">
        <v>5</v>
      </c>
      <c r="Q7" s="10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9"/>
      <c r="AD7" s="9"/>
      <c r="AE7" s="9"/>
      <c r="AF7" s="9"/>
      <c r="AG7" s="9"/>
    </row>
    <row r="8" spans="1:33" ht="15">
      <c r="A8" s="36" t="s">
        <v>1</v>
      </c>
      <c r="B8" s="36"/>
      <c r="C8" s="49">
        <v>0.3</v>
      </c>
      <c r="D8" s="44">
        <v>6</v>
      </c>
      <c r="E8" s="3"/>
      <c r="F8" s="3"/>
      <c r="G8" s="3"/>
      <c r="H8" s="3"/>
      <c r="I8" s="58">
        <f t="shared" si="0"/>
        <v>10519.199999999999</v>
      </c>
      <c r="J8" s="34">
        <f>+I8*$C$9*(1+$C$10)^D7</f>
        <v>1407.7062495889923</v>
      </c>
      <c r="K8" s="41">
        <f>IF($C$4&gt;1,IF(D8&lt;=$C$4,-PMT($C$6,$C$4,$H$3),0),IF(D8&gt;1,0,$H$3))+IF($C$14&gt;1,IF(AND(D8&gt;14,D8&lt;=14+$C$14),-PMT($C$6,$C$14,$E$17),0),IF(D8=15,$E$17,0))+IF($C$14&gt;1,IF(AND(D8&gt;29,D8&lt;=29+$C$14),-PMT($C$6,$C$14,$E$17),0),IF(D8=30,$E$32,0))</f>
        <v>0</v>
      </c>
      <c r="L8" s="41">
        <f>+$C$12*I8</f>
        <v>3155.7599999999998</v>
      </c>
      <c r="M8" s="41"/>
      <c r="N8" s="41">
        <f t="shared" si="1"/>
        <v>4563.466249588992</v>
      </c>
      <c r="O8" s="59">
        <f t="shared" si="2"/>
        <v>10103.801207093422</v>
      </c>
      <c r="P8" s="44">
        <v>6</v>
      </c>
      <c r="Q8" s="11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</row>
    <row r="9" spans="1:33" ht="15">
      <c r="A9" s="36" t="s">
        <v>9</v>
      </c>
      <c r="B9" s="36"/>
      <c r="C9" s="39">
        <v>0.1</v>
      </c>
      <c r="D9" s="44">
        <v>7</v>
      </c>
      <c r="E9" s="3"/>
      <c r="F9" s="3"/>
      <c r="G9" s="3"/>
      <c r="H9" s="3"/>
      <c r="I9" s="58">
        <f t="shared" si="0"/>
        <v>10519.199999999999</v>
      </c>
      <c r="J9" s="34">
        <f>+I9*$C$9*(1+$C$10)^D8</f>
        <v>1492.1686245643318</v>
      </c>
      <c r="K9" s="41">
        <f>IF($C$4&gt;1,IF(D9&lt;=$C$4,-PMT($C$6,$C$4,$H$3),0),IF(D9&gt;1,0,$H$3))+IF($C$14&gt;1,IF(AND(D9&gt;14,D9&lt;=14+$C$14),-PMT($C$6,$C$14,$E$17),0),IF(D9=15,$E$17,0))+IF($C$14&gt;1,IF(AND(D9&gt;29,D9&lt;=29+$C$14),-PMT($C$6,$C$14,$E$17),0),IF(D9=30,$E$32,0))</f>
        <v>0</v>
      </c>
      <c r="L9" s="41">
        <f>+$C$12*I9</f>
        <v>3155.7599999999998</v>
      </c>
      <c r="M9" s="41"/>
      <c r="N9" s="41">
        <f t="shared" si="1"/>
        <v>4647.928624564332</v>
      </c>
      <c r="O9" s="59">
        <f t="shared" si="2"/>
        <v>14751.729831657754</v>
      </c>
      <c r="P9" s="44">
        <v>7</v>
      </c>
      <c r="Q9" s="13"/>
      <c r="R9" s="9"/>
      <c r="S9" s="9"/>
      <c r="T9" s="9"/>
      <c r="U9" s="8"/>
      <c r="V9" s="8"/>
      <c r="W9" s="8"/>
      <c r="X9" s="8"/>
      <c r="Y9" s="8"/>
      <c r="Z9" s="8"/>
      <c r="AA9" s="8"/>
      <c r="AB9" s="9"/>
      <c r="AC9" s="9"/>
      <c r="AD9" s="9"/>
      <c r="AE9" s="9"/>
      <c r="AF9" s="9"/>
      <c r="AG9" s="9"/>
    </row>
    <row r="10" spans="1:33" ht="15">
      <c r="A10" s="36" t="s">
        <v>10</v>
      </c>
      <c r="B10" s="36"/>
      <c r="C10" s="52">
        <v>0.06</v>
      </c>
      <c r="D10" s="44">
        <v>8</v>
      </c>
      <c r="E10" s="3"/>
      <c r="F10" s="3"/>
      <c r="G10" s="3"/>
      <c r="H10" s="3"/>
      <c r="I10" s="58">
        <f t="shared" si="0"/>
        <v>10519.199999999999</v>
      </c>
      <c r="J10" s="34">
        <f>+I10*$C$9*(1+$C$10)^D9</f>
        <v>1581.698742038192</v>
      </c>
      <c r="K10" s="41">
        <f>IF($C$4&gt;1,IF(D10&lt;=$C$4,-PMT($C$6,$C$4,$H$3),0),IF(D10&gt;1,0,$H$3))+IF($C$14&gt;1,IF(AND(D10&gt;14,D10&lt;=14+$C$14),-PMT($C$6,$C$14,$E$17),0),IF(D10=15,$E$17,0))+IF($C$14&gt;1,IF(AND(D10&gt;29,D10&lt;=29+$C$14),-PMT($C$6,$C$14,$E$17),0),IF(D10=30,$E$32,0))</f>
        <v>0</v>
      </c>
      <c r="L10" s="41">
        <f>+$C$12*I10</f>
        <v>3155.7599999999998</v>
      </c>
      <c r="M10" s="41"/>
      <c r="N10" s="41">
        <f t="shared" si="1"/>
        <v>4737.458742038192</v>
      </c>
      <c r="O10" s="59">
        <f t="shared" si="2"/>
        <v>19489.188573695945</v>
      </c>
      <c r="P10" s="44">
        <v>8</v>
      </c>
      <c r="Q10" s="14"/>
      <c r="R10" s="7"/>
      <c r="S10" s="7"/>
      <c r="T10" s="7"/>
      <c r="U10" s="8"/>
      <c r="V10" s="8"/>
      <c r="W10" s="8"/>
      <c r="X10" s="8"/>
      <c r="Y10" s="8"/>
      <c r="Z10" s="8"/>
      <c r="AA10" s="8"/>
      <c r="AB10" s="9"/>
      <c r="AC10" s="9"/>
      <c r="AD10" s="9"/>
      <c r="AE10" s="9"/>
      <c r="AF10" s="9"/>
      <c r="AG10" s="9"/>
    </row>
    <row r="11" spans="1:33" ht="15">
      <c r="A11" s="36" t="s">
        <v>43</v>
      </c>
      <c r="B11" s="36"/>
      <c r="C11" s="38">
        <v>0.3</v>
      </c>
      <c r="D11" s="44">
        <v>9</v>
      </c>
      <c r="E11" s="3"/>
      <c r="F11" s="3"/>
      <c r="G11" s="3"/>
      <c r="H11" s="3"/>
      <c r="I11" s="58">
        <f t="shared" si="0"/>
        <v>10519.199999999999</v>
      </c>
      <c r="J11" s="34">
        <f>+I11*$C$9*(1+$C$10)^D10</f>
        <v>1676.6006665604834</v>
      </c>
      <c r="K11" s="41">
        <f>IF($C$4&gt;1,IF(D11&lt;=$C$4,-PMT($C$6,$C$4,$H$3),0),IF(D11&gt;1,0,$H$3))+IF($C$14&gt;1,IF(AND(D11&gt;14,D11&lt;=14+$C$14),-PMT($C$6,$C$14,$E$17),0),IF(D11=15,$E$17,0))+IF($C$14&gt;1,IF(AND(D11&gt;29,D11&lt;=29+$C$14),-PMT($C$6,$C$14,$E$17),0),IF(D11=30,$E$32,0))</f>
        <v>0</v>
      </c>
      <c r="L11" s="41">
        <f>+$C$12*I11</f>
        <v>3155.7599999999998</v>
      </c>
      <c r="M11" s="41"/>
      <c r="N11" s="41">
        <f t="shared" si="1"/>
        <v>4832.360666560483</v>
      </c>
      <c r="O11" s="59">
        <f t="shared" si="2"/>
        <v>24321.549240256427</v>
      </c>
      <c r="P11" s="44">
        <v>9</v>
      </c>
      <c r="Q11" s="10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9"/>
      <c r="AD11" s="9"/>
      <c r="AE11" s="9"/>
      <c r="AF11" s="9"/>
      <c r="AG11" s="9"/>
    </row>
    <row r="12" spans="1:33" ht="15">
      <c r="A12" s="36" t="s">
        <v>21</v>
      </c>
      <c r="B12" s="36"/>
      <c r="C12" s="40">
        <v>0.3</v>
      </c>
      <c r="D12" s="44">
        <v>10</v>
      </c>
      <c r="E12" s="3"/>
      <c r="F12" s="3"/>
      <c r="G12" s="3"/>
      <c r="H12" s="3"/>
      <c r="I12" s="58">
        <f t="shared" si="0"/>
        <v>10519.199999999999</v>
      </c>
      <c r="J12" s="34">
        <f>+I12*$C$9*(1+$C$10)^D11</f>
        <v>1777.1967065541123</v>
      </c>
      <c r="K12" s="41">
        <f>IF($C$4&gt;1,IF(D12&lt;=$C$4,-PMT($C$6,$C$4,$H$3),0),IF(D12&gt;1,0,$H$3))+IF($C$14&gt;1,IF(AND(D12&gt;14,D12&lt;=14+$C$14),-PMT($C$6,$C$14,$E$17),0),IF(D12=15,$E$17,0))+IF($C$14&gt;1,IF(AND(D12&gt;29,D12&lt;=29+$C$14),-PMT($C$6,$C$14,$E$17),0),IF(D12=30,$E$32,0))</f>
        <v>0</v>
      </c>
      <c r="L12" s="41">
        <f>+$C$12*I12</f>
        <v>3155.7599999999998</v>
      </c>
      <c r="M12" s="41"/>
      <c r="N12" s="41">
        <f t="shared" si="1"/>
        <v>4932.956706554112</v>
      </c>
      <c r="O12" s="59">
        <f t="shared" si="2"/>
        <v>29254.50594681054</v>
      </c>
      <c r="P12" s="44">
        <v>10</v>
      </c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9"/>
      <c r="AD12" s="9"/>
      <c r="AE12" s="9"/>
      <c r="AF12" s="9"/>
      <c r="AG12" s="9"/>
    </row>
    <row r="13" spans="1:33" ht="15">
      <c r="A13" s="36" t="s">
        <v>46</v>
      </c>
      <c r="B13" s="36"/>
      <c r="C13" s="38">
        <v>0.2</v>
      </c>
      <c r="D13" s="44">
        <v>11</v>
      </c>
      <c r="E13" s="3"/>
      <c r="F13" s="3"/>
      <c r="G13" s="3"/>
      <c r="H13" s="3"/>
      <c r="I13" s="58">
        <f t="shared" si="0"/>
        <v>10519.199999999999</v>
      </c>
      <c r="J13" s="34">
        <f>+I13*$C$9*(1+$C$10)^D12</f>
        <v>1883.8285089473593</v>
      </c>
      <c r="K13" s="41">
        <f>IF($C$4&gt;1,IF(D13&lt;=$C$4,-PMT($C$6,$C$4,$H$3),0),IF(D13&gt;1,0,$H$3))+IF($C$14&gt;1,IF(AND(D13&gt;14,D13&lt;=14+$C$14),-PMT($C$6,$C$14,$E$17),0),IF(D13=15,$E$17,0))+IF($C$14&gt;1,IF(AND(D13&gt;29,D13&lt;=29+$C$14),-PMT($C$6,$C$14,$E$17),0),IF(D13=30,$E$32,0))</f>
        <v>0</v>
      </c>
      <c r="L13" s="41">
        <f>+$C$12*I13</f>
        <v>3155.7599999999998</v>
      </c>
      <c r="M13" s="41"/>
      <c r="N13" s="41">
        <f t="shared" si="1"/>
        <v>5039.5885089473595</v>
      </c>
      <c r="O13" s="59">
        <f t="shared" si="2"/>
        <v>34294.0944557579</v>
      </c>
      <c r="P13" s="44">
        <v>11</v>
      </c>
      <c r="Q13" s="10"/>
      <c r="R13" s="8"/>
      <c r="S13" s="8"/>
      <c r="T13" s="8"/>
      <c r="U13" s="8"/>
      <c r="V13" s="8"/>
      <c r="W13" s="8"/>
      <c r="X13" s="8"/>
      <c r="Y13" s="8"/>
      <c r="Z13" s="8"/>
      <c r="AA13" s="8"/>
      <c r="AB13" s="9"/>
      <c r="AC13" s="9"/>
      <c r="AD13" s="9"/>
      <c r="AE13" s="9"/>
      <c r="AF13" s="9"/>
      <c r="AG13" s="9"/>
    </row>
    <row r="14" spans="1:33" ht="15">
      <c r="A14" s="36" t="s">
        <v>32</v>
      </c>
      <c r="B14" s="36"/>
      <c r="C14" s="49">
        <v>1</v>
      </c>
      <c r="D14" s="44">
        <v>12</v>
      </c>
      <c r="E14" s="3"/>
      <c r="F14" s="3"/>
      <c r="G14" s="3"/>
      <c r="H14" s="3"/>
      <c r="I14" s="58">
        <f t="shared" si="0"/>
        <v>10519.199999999999</v>
      </c>
      <c r="J14" s="34">
        <f>+I14*$C$9*(1+$C$10)^D13</f>
        <v>1996.8582194842013</v>
      </c>
      <c r="K14" s="41">
        <f>IF($C$4&gt;1,IF(D14&lt;=$C$4,-PMT($C$6,$C$4,$H$3),0),IF(D14&gt;1,0,$H$3))+IF($C$14&gt;1,IF(AND(D14&gt;14,D14&lt;=14+$C$14),-PMT($C$6,$C$14,$E$17),0),IF(D14=15,$E$17,0))+IF($C$14&gt;1,IF(AND(D14&gt;29,D14&lt;=29+$C$14),-PMT($C$6,$C$14,$E$17),0),IF(D14=30,$E$32,0))</f>
        <v>0</v>
      </c>
      <c r="L14" s="41">
        <f>+$C$12*I14</f>
        <v>3155.7599999999998</v>
      </c>
      <c r="M14" s="41"/>
      <c r="N14" s="41">
        <f t="shared" si="1"/>
        <v>5152.618219484201</v>
      </c>
      <c r="O14" s="59">
        <f t="shared" si="2"/>
        <v>39446.7126752421</v>
      </c>
      <c r="P14" s="44">
        <v>12</v>
      </c>
      <c r="Q14" s="10"/>
      <c r="R14" s="8"/>
      <c r="S14" s="8"/>
      <c r="T14" s="8"/>
      <c r="U14" s="8"/>
      <c r="V14" s="8"/>
      <c r="W14" s="8"/>
      <c r="X14" s="8"/>
      <c r="Y14" s="8"/>
      <c r="Z14" s="8"/>
      <c r="AA14" s="8"/>
      <c r="AB14" s="9"/>
      <c r="AC14" s="9"/>
      <c r="AD14" s="9"/>
      <c r="AE14" s="9"/>
      <c r="AF14" s="9"/>
      <c r="AG14" s="9"/>
    </row>
    <row r="15" spans="1:33" ht="15">
      <c r="A15" s="36" t="s">
        <v>12</v>
      </c>
      <c r="B15" s="36"/>
      <c r="C15" s="51">
        <v>5000</v>
      </c>
      <c r="D15" s="44">
        <v>13</v>
      </c>
      <c r="E15" s="3"/>
      <c r="F15" s="3"/>
      <c r="G15" s="3"/>
      <c r="H15" s="3"/>
      <c r="I15" s="58">
        <f t="shared" si="0"/>
        <v>10519.199999999999</v>
      </c>
      <c r="J15" s="34">
        <f>+I15*$C$9*(1+$C$10)^D14</f>
        <v>2116.6697126532536</v>
      </c>
      <c r="K15" s="41">
        <f>IF($C$4&gt;1,IF(D15&lt;=$C$4,-PMT($C$6,$C$4,$H$3),0),IF(D15&gt;1,0,$H$3))+IF($C$14&gt;1,IF(AND(D15&gt;14,D15&lt;=14+$C$14),-PMT($C$6,$C$14,$E$17),0),IF(D15=15,$E$17,0))+IF($C$14&gt;1,IF(AND(D15&gt;29,D15&lt;=29+$C$14),-PMT($C$6,$C$14,$E$17),0),IF(D15=30,$E$32,0))</f>
        <v>0</v>
      </c>
      <c r="L15" s="41">
        <f>+$C$12*I15</f>
        <v>3155.7599999999998</v>
      </c>
      <c r="M15" s="41"/>
      <c r="N15" s="41">
        <f t="shared" si="1"/>
        <v>5272.429712653253</v>
      </c>
      <c r="O15" s="59">
        <f t="shared" si="2"/>
        <v>44719.14238789536</v>
      </c>
      <c r="P15" s="44">
        <v>13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9"/>
      <c r="AC15" s="9"/>
      <c r="AD15" s="9"/>
      <c r="AE15" s="9"/>
      <c r="AF15" s="9"/>
      <c r="AG15" s="9"/>
    </row>
    <row r="16" spans="4:33" ht="15">
      <c r="D16" s="44">
        <v>14</v>
      </c>
      <c r="I16" s="58">
        <f t="shared" si="0"/>
        <v>10519.199999999999</v>
      </c>
      <c r="J16" s="34">
        <f>+I16*$C$9*(1+$C$10)^D15</f>
        <v>2243.6698954124486</v>
      </c>
      <c r="K16" s="41">
        <f>IF($C$4&gt;1,IF(D16&lt;=$C$4,-PMT($C$6,$C$4,$H$3),0),IF(D16&gt;1,0,$H$3))+IF($C$14&gt;1,IF(AND(D16&gt;14,D16&lt;=14+$C$14),-PMT($C$6,$C$14,$E$17),0),IF(D16=15,$E$17,0))+IF($C$14&gt;1,IF(AND(D16&gt;29,D16&lt;=29+$C$14),-PMT($C$6,$C$14,$E$17),0),IF(D16=30,$E$32,0))</f>
        <v>0</v>
      </c>
      <c r="L16" s="41">
        <f>+$C$12*I16</f>
        <v>3155.7599999999998</v>
      </c>
      <c r="M16" s="41"/>
      <c r="N16" s="41">
        <f t="shared" si="1"/>
        <v>5399.429895412448</v>
      </c>
      <c r="O16" s="59">
        <f t="shared" si="2"/>
        <v>50118.5722833078</v>
      </c>
      <c r="P16" s="44">
        <v>14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9"/>
      <c r="AD16" s="9"/>
      <c r="AE16" s="9"/>
      <c r="AF16" s="9"/>
      <c r="AG16" s="9"/>
    </row>
    <row r="17" spans="1:33" ht="15">
      <c r="A17" t="s">
        <v>50</v>
      </c>
      <c r="D17" s="44">
        <v>15</v>
      </c>
      <c r="E17" s="3">
        <f>+C15</f>
        <v>5000</v>
      </c>
      <c r="F17" s="3"/>
      <c r="G17" s="3"/>
      <c r="H17" s="3"/>
      <c r="I17" s="58">
        <f t="shared" si="0"/>
        <v>10519.199999999999</v>
      </c>
      <c r="J17" s="34">
        <f>+I17*$C$9*(1+$C$10)^D16</f>
        <v>2378.2900891371955</v>
      </c>
      <c r="K17" s="41">
        <f>IF($C$4&gt;1,IF(D17&lt;=$C$4,-PMT($C$6,$C$4,$H$3),0),IF(D17&gt;1,0,$H$3))+IF($C$14&gt;1,IF(AND(D17&gt;14,D17&lt;=14+$C$14),-PMT($C$6,$C$14,$E$17),0),IF(D17=15,$E$17,0))+IF($C$14&gt;1,IF(AND(D17&gt;29,D17&lt;=29+$C$14),-PMT($C$6,$C$14,$E$17),0),IF(D17=30,$E$32,0))</f>
        <v>5000</v>
      </c>
      <c r="L17" s="41">
        <f>+$C$12*I17</f>
        <v>3155.7599999999998</v>
      </c>
      <c r="M17" s="41"/>
      <c r="N17" s="41">
        <f>J17-K17+L17+M17</f>
        <v>534.0500891371953</v>
      </c>
      <c r="O17" s="59">
        <f t="shared" si="2"/>
        <v>50652.622372444996</v>
      </c>
      <c r="P17" s="44">
        <v>15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9"/>
      <c r="AC17" s="9"/>
      <c r="AD17" s="9"/>
      <c r="AE17" s="9"/>
      <c r="AF17" s="9"/>
      <c r="AG17" s="9"/>
    </row>
    <row r="18" spans="1:33" ht="15">
      <c r="A18" s="64"/>
      <c r="B18" s="64"/>
      <c r="C18" s="64"/>
      <c r="D18" s="44">
        <v>16</v>
      </c>
      <c r="E18" s="3"/>
      <c r="F18" s="3"/>
      <c r="G18" s="3"/>
      <c r="H18" s="3"/>
      <c r="I18" s="58">
        <f t="shared" si="0"/>
        <v>10519.199999999999</v>
      </c>
      <c r="J18" s="34">
        <f>+I18*$C$9*(1+$C$10)^D17</f>
        <v>2520.987494485428</v>
      </c>
      <c r="K18" s="41">
        <f>IF($C$4&gt;1,IF(D18&lt;=$C$4,-PMT($C$6,$C$4,$H$3),0),IF(D18&gt;1,0,$H$3))+IF($C$14&gt;1,IF(AND(D18&gt;14,D18&lt;=14+$C$14),-PMT($C$6,$C$14,$E$17),0),IF(D18=15,$E$17,0))+IF($C$14&gt;1,IF(AND(D18&gt;29,D18&lt;=29+$C$14),-PMT($C$6,$C$14,$E$17),0),IF(D18=30,$E$32,0))</f>
        <v>0</v>
      </c>
      <c r="L18" s="41">
        <f>+$C$12*I18</f>
        <v>3155.7599999999998</v>
      </c>
      <c r="M18" s="41"/>
      <c r="N18" s="41">
        <f t="shared" si="1"/>
        <v>5676.7474944854275</v>
      </c>
      <c r="O18" s="59">
        <f t="shared" si="2"/>
        <v>56329.36986693042</v>
      </c>
      <c r="P18" s="44">
        <v>16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9"/>
      <c r="AC18" s="9"/>
      <c r="AD18" s="9"/>
      <c r="AE18" s="9"/>
      <c r="AF18" s="9"/>
      <c r="AG18" s="9"/>
    </row>
    <row r="19" spans="1:33" ht="15">
      <c r="A19" s="64"/>
      <c r="B19" s="64"/>
      <c r="C19" s="64"/>
      <c r="D19" s="44">
        <v>17</v>
      </c>
      <c r="E19" s="3"/>
      <c r="F19" s="3"/>
      <c r="G19" s="3"/>
      <c r="H19" s="3"/>
      <c r="I19" s="58">
        <f t="shared" si="0"/>
        <v>10519.199999999999</v>
      </c>
      <c r="J19" s="34">
        <f>+I19*$C$9*(1+$C$10)^D18</f>
        <v>2672.246744154553</v>
      </c>
      <c r="K19" s="41">
        <f>IF($C$4&gt;1,IF(D19&lt;=$C$4,-PMT($C$6,$C$4,$H$3),0),IF(D19&gt;1,0,$H$3))+IF($C$14&gt;1,IF(AND(D19&gt;14,D19&lt;=14+$C$14),-PMT($C$6,$C$14,$E$17),0),IF(D19=15,$E$17,0))+IF($C$14&gt;1,IF(AND(D19&gt;29,D19&lt;=29+$C$14),-PMT($C$6,$C$14,$E$17),0),IF(D19=30,$E$32,0))</f>
        <v>0</v>
      </c>
      <c r="L19" s="41">
        <f>+$C$12*I19</f>
        <v>3155.7599999999998</v>
      </c>
      <c r="M19" s="41"/>
      <c r="N19" s="41">
        <f t="shared" si="1"/>
        <v>5828.0067441545525</v>
      </c>
      <c r="O19" s="59">
        <f t="shared" si="2"/>
        <v>62157.376611084976</v>
      </c>
      <c r="P19" s="44">
        <v>17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9"/>
      <c r="AC19" s="9"/>
      <c r="AD19" s="9"/>
      <c r="AE19" s="9"/>
      <c r="AF19" s="9"/>
      <c r="AG19" s="9"/>
    </row>
    <row r="20" spans="1:33" ht="15">
      <c r="A20" s="64"/>
      <c r="B20" s="64"/>
      <c r="C20" s="64"/>
      <c r="D20" s="44">
        <v>18</v>
      </c>
      <c r="E20" s="3"/>
      <c r="F20" s="3"/>
      <c r="G20" s="3"/>
      <c r="H20" s="3"/>
      <c r="I20" s="58">
        <f t="shared" si="0"/>
        <v>10519.199999999999</v>
      </c>
      <c r="J20" s="34">
        <f>+I20*$C$9*(1+$C$10)^D19</f>
        <v>2832.5815488038265</v>
      </c>
      <c r="K20" s="41">
        <f>IF($C$4&gt;1,IF(D20&lt;=$C$4,-PMT($C$6,$C$4,$H$3),0),IF(D20&gt;1,0,$H$3))+IF($C$14&gt;1,IF(AND(D20&gt;14,D20&lt;=14+$C$14),-PMT($C$6,$C$14,$E$17),0),IF(D20=15,$E$17,0))+IF($C$14&gt;1,IF(AND(D20&gt;29,D20&lt;=29+$C$14),-PMT($C$6,$C$14,$E$17),0),IF(D20=30,$E$32,0))</f>
        <v>0</v>
      </c>
      <c r="L20" s="41">
        <f>+$C$12*I20</f>
        <v>3155.7599999999998</v>
      </c>
      <c r="M20" s="41"/>
      <c r="N20" s="41">
        <f t="shared" si="1"/>
        <v>5988.341548803826</v>
      </c>
      <c r="O20" s="59">
        <f t="shared" si="2"/>
        <v>68145.7181598888</v>
      </c>
      <c r="P20" s="44">
        <v>18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C20" s="9"/>
      <c r="AD20" s="9"/>
      <c r="AE20" s="9"/>
      <c r="AF20" s="9"/>
      <c r="AG20" s="9"/>
    </row>
    <row r="21" spans="1:33" ht="15">
      <c r="A21" s="64"/>
      <c r="B21" s="64"/>
      <c r="C21" s="64"/>
      <c r="D21" s="44">
        <v>19</v>
      </c>
      <c r="E21" s="3"/>
      <c r="F21" s="3"/>
      <c r="G21" s="3"/>
      <c r="H21" s="3"/>
      <c r="I21" s="58">
        <f t="shared" si="0"/>
        <v>10519.199999999999</v>
      </c>
      <c r="J21" s="34">
        <f>+I21*$C$9*(1+$C$10)^D20</f>
        <v>3002.536441732056</v>
      </c>
      <c r="K21" s="41">
        <f>IF($C$4&gt;1,IF(D21&lt;=$C$4,-PMT($C$6,$C$4,$H$3),0),IF(D21&gt;1,0,$H$3))+IF($C$14&gt;1,IF(AND(D21&gt;14,D21&lt;=14+$C$14),-PMT($C$6,$C$14,$E$17),0),IF(D21=15,$E$17,0))+IF($C$14&gt;1,IF(AND(D21&gt;29,D21&lt;=29+$C$14),-PMT($C$6,$C$14,$E$17),0),IF(D21=30,$E$32,0))</f>
        <v>0</v>
      </c>
      <c r="L21" s="41">
        <f>+$C$12*I21</f>
        <v>3155.7599999999998</v>
      </c>
      <c r="M21" s="41"/>
      <c r="N21" s="41">
        <f t="shared" si="1"/>
        <v>6158.296441732056</v>
      </c>
      <c r="O21" s="59">
        <f t="shared" si="2"/>
        <v>74304.01460162086</v>
      </c>
      <c r="P21" s="44">
        <v>19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C21" s="9"/>
      <c r="AD21" s="9"/>
      <c r="AE21" s="9"/>
      <c r="AF21" s="9"/>
      <c r="AG21" s="9"/>
    </row>
    <row r="22" spans="4:33" ht="15">
      <c r="D22" s="44">
        <v>20</v>
      </c>
      <c r="E22" s="3"/>
      <c r="F22" s="3"/>
      <c r="G22" s="3"/>
      <c r="H22" s="3"/>
      <c r="I22" s="58">
        <f t="shared" si="0"/>
        <v>10519.199999999999</v>
      </c>
      <c r="J22" s="34">
        <f>+I22*$C$9*(1+$C$10)^D21</f>
        <v>3182.68862823598</v>
      </c>
      <c r="K22" s="41">
        <f>IF($C$4&gt;1,IF(D22&lt;=$C$4,-PMT($C$6,$C$4,$H$3),0),IF(D22&gt;1,0,$H$3))+IF($C$14&gt;1,IF(AND(D22&gt;14,D22&lt;=14+$C$14),-PMT($C$6,$C$14,$E$17),0),IF(D22=15,$E$17,0))+IF($C$14&gt;1,IF(AND(D22&gt;29,D22&lt;=29+$C$14),-PMT($C$6,$C$14,$E$17),0),IF(D22=30,$E$32,0))</f>
        <v>0</v>
      </c>
      <c r="L22" s="41">
        <f>+$C$12*I22</f>
        <v>3155.7599999999998</v>
      </c>
      <c r="M22" s="41"/>
      <c r="N22" s="41">
        <f t="shared" si="1"/>
        <v>6338.448628235979</v>
      </c>
      <c r="O22" s="59">
        <f t="shared" si="2"/>
        <v>80642.46322985683</v>
      </c>
      <c r="P22" s="44">
        <v>20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  <c r="AC22" s="9"/>
      <c r="AD22" s="9"/>
      <c r="AE22" s="9"/>
      <c r="AF22" s="9"/>
      <c r="AG22" s="9"/>
    </row>
    <row r="23" spans="4:33" ht="15">
      <c r="D23" s="44">
        <v>21</v>
      </c>
      <c r="E23" s="3"/>
      <c r="F23" s="3"/>
      <c r="G23" s="3"/>
      <c r="H23" s="3"/>
      <c r="I23" s="58">
        <f t="shared" si="0"/>
        <v>10519.199999999999</v>
      </c>
      <c r="J23" s="34">
        <f>+I23*$C$9*(1+$C$10)^D22</f>
        <v>3373.6499459301385</v>
      </c>
      <c r="K23" s="41">
        <f>IF($C$4&gt;1,IF(D23&lt;=$C$4,-PMT($C$6,$C$4,$H$3),0),IF(D23&gt;1,0,$H$3))+IF($C$14&gt;1,IF(AND(D23&gt;14,D23&lt;=14+$C$14),-PMT($C$6,$C$14,$E$17),0),IF(D23=15,$E$17,0))+IF($C$14&gt;1,IF(AND(D23&gt;29,D23&lt;=29+$C$14),-PMT($C$6,$C$14,$E$17),0),IF(D23=30,$E$32,0))</f>
        <v>0</v>
      </c>
      <c r="L23" s="41">
        <f>+$C$12*I23</f>
        <v>3155.7599999999998</v>
      </c>
      <c r="M23" s="41"/>
      <c r="N23" s="41">
        <f t="shared" si="1"/>
        <v>6529.409945930138</v>
      </c>
      <c r="O23" s="59">
        <f t="shared" si="2"/>
        <v>87171.87317578697</v>
      </c>
      <c r="P23" s="44">
        <v>21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9"/>
      <c r="AC23" s="9"/>
      <c r="AD23" s="9"/>
      <c r="AE23" s="9"/>
      <c r="AF23" s="9"/>
      <c r="AG23" s="9"/>
    </row>
    <row r="24" spans="3:33" ht="15">
      <c r="C24" s="23"/>
      <c r="D24" s="44">
        <v>22</v>
      </c>
      <c r="E24" s="5"/>
      <c r="F24" s="5"/>
      <c r="G24" s="5"/>
      <c r="H24" s="5"/>
      <c r="I24" s="58">
        <f t="shared" si="0"/>
        <v>10519.199999999999</v>
      </c>
      <c r="J24" s="34">
        <f>+I24*$C$9*(1+$C$10)^D23</f>
        <v>3576.0689426859476</v>
      </c>
      <c r="K24" s="41">
        <f>IF($C$4&gt;1,IF(D24&lt;=$C$4,-PMT($C$6,$C$4,$H$3),0),IF(D24&gt;1,0,$H$3))+IF($C$14&gt;1,IF(AND(D24&gt;14,D24&lt;=14+$C$14),-PMT($C$6,$C$14,$E$17),0),IF(D24=15,$E$17,0))+IF($C$14&gt;1,IF(AND(D24&gt;29,D24&lt;=29+$C$14),-PMT($C$6,$C$14,$E$17),0),IF(D24=30,$E$32,0))</f>
        <v>0</v>
      </c>
      <c r="L24" s="41">
        <f>+$C$12*I24</f>
        <v>3155.7599999999998</v>
      </c>
      <c r="M24" s="41"/>
      <c r="N24" s="41">
        <f t="shared" si="1"/>
        <v>6731.828942685947</v>
      </c>
      <c r="O24" s="59">
        <f t="shared" si="2"/>
        <v>93903.70211847291</v>
      </c>
      <c r="P24" s="44">
        <v>22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9"/>
      <c r="AC24" s="9"/>
      <c r="AD24" s="9"/>
      <c r="AE24" s="9"/>
      <c r="AF24" s="9"/>
      <c r="AG24" s="9"/>
    </row>
    <row r="25" spans="4:33" ht="15">
      <c r="D25" s="44">
        <v>23</v>
      </c>
      <c r="E25" s="5"/>
      <c r="F25" s="5"/>
      <c r="G25" s="5"/>
      <c r="H25" s="5"/>
      <c r="I25" s="58">
        <f t="shared" si="0"/>
        <v>10519.199999999999</v>
      </c>
      <c r="J25" s="34">
        <f>+I25*$C$9*(1+$C$10)^D24</f>
        <v>3790.6330792471044</v>
      </c>
      <c r="K25" s="41">
        <f>IF($C$4&gt;1,IF(D25&lt;=$C$4,-PMT($C$6,$C$4,$H$3),0),IF(D25&gt;1,0,$H$3))+IF($C$14&gt;1,IF(AND(D25&gt;14,D25&lt;=14+$C$14),-PMT($C$6,$C$14,$E$17),0),IF(D25=15,$E$17,0))+IF($C$14&gt;1,IF(AND(D25&gt;29,D25&lt;=29+$C$14),-PMT($C$6,$C$14,$E$17),0),IF(D25=30,$E$32,0))</f>
        <v>0</v>
      </c>
      <c r="L25" s="41">
        <f>+$C$12*I25</f>
        <v>3155.7599999999998</v>
      </c>
      <c r="M25" s="41"/>
      <c r="N25" s="41">
        <f t="shared" si="1"/>
        <v>6946.393079247104</v>
      </c>
      <c r="O25" s="59">
        <f t="shared" si="2"/>
        <v>100850.09519772002</v>
      </c>
      <c r="P25" s="44">
        <v>23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9"/>
      <c r="AC25" s="9"/>
      <c r="AD25" s="9"/>
      <c r="AE25" s="9"/>
      <c r="AF25" s="9"/>
      <c r="AG25" s="9"/>
    </row>
    <row r="26" spans="4:33" ht="15">
      <c r="D26" s="44">
        <v>24</v>
      </c>
      <c r="E26" s="5"/>
      <c r="F26" s="5"/>
      <c r="G26" s="5"/>
      <c r="H26" s="5"/>
      <c r="I26" s="58">
        <f t="shared" si="0"/>
        <v>10519.199999999999</v>
      </c>
      <c r="J26" s="34">
        <f>+I26*$C$9*(1+$C$10)^D25</f>
        <v>4018.0710640019315</v>
      </c>
      <c r="K26" s="41">
        <f>IF($C$4&gt;1,IF(D26&lt;=$C$4,-PMT($C$6,$C$4,$H$3),0),IF(D26&gt;1,0,$H$3))+IF($C$14&gt;1,IF(AND(D26&gt;14,D26&lt;=14+$C$14),-PMT($C$6,$C$14,$E$17),0),IF(D26=15,$E$17,0))+IF($C$14&gt;1,IF(AND(D26&gt;29,D26&lt;=29+$C$14),-PMT($C$6,$C$14,$E$17),0),IF(D26=30,$E$32,0))</f>
        <v>0</v>
      </c>
      <c r="L26" s="41">
        <f>+$C$12*I26</f>
        <v>3155.7599999999998</v>
      </c>
      <c r="M26" s="41"/>
      <c r="N26" s="41">
        <f t="shared" si="1"/>
        <v>7173.831064001932</v>
      </c>
      <c r="O26" s="59">
        <f t="shared" si="2"/>
        <v>108023.92626172195</v>
      </c>
      <c r="P26" s="44">
        <v>24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C26" s="9"/>
      <c r="AD26" s="9"/>
      <c r="AE26" s="9"/>
      <c r="AF26" s="9"/>
      <c r="AG26" s="9"/>
    </row>
    <row r="27" spans="4:33" ht="15">
      <c r="D27" s="44">
        <v>25</v>
      </c>
      <c r="E27" s="5"/>
      <c r="F27" s="5"/>
      <c r="G27" s="5"/>
      <c r="H27" s="5"/>
      <c r="I27" s="58">
        <f t="shared" si="0"/>
        <v>10519.199999999999</v>
      </c>
      <c r="J27" s="34">
        <f>+I27*$C$9*(1+$C$10)^D26</f>
        <v>4259.155327842047</v>
      </c>
      <c r="K27" s="41">
        <f>IF($C$4&gt;1,IF(D27&lt;=$C$4,-PMT($C$6,$C$4,$H$3),0),IF(D27&gt;1,0,$H$3))+IF($C$14&gt;1,IF(AND(D27&gt;14,D27&lt;=14+$C$14),-PMT($C$6,$C$14,$E$17),0),IF(D27=15,$E$17,0))+IF($C$14&gt;1,IF(AND(D27&gt;29,D27&lt;=29+$C$14),-PMT($C$6,$C$14,$E$17),0),IF(D27=30,$E$32,0))</f>
        <v>0</v>
      </c>
      <c r="L27" s="41">
        <f>+$C$12*I27</f>
        <v>3155.7599999999998</v>
      </c>
      <c r="M27" s="41"/>
      <c r="N27" s="41">
        <f t="shared" si="1"/>
        <v>7414.915327842047</v>
      </c>
      <c r="O27" s="59">
        <f t="shared" si="2"/>
        <v>115438.84158956399</v>
      </c>
      <c r="P27" s="44">
        <v>25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C27" s="9"/>
      <c r="AD27" s="9"/>
      <c r="AE27" s="9"/>
      <c r="AF27" s="9"/>
      <c r="AG27" s="9"/>
    </row>
    <row r="28" spans="4:33" ht="15">
      <c r="D28" s="44">
        <v>26</v>
      </c>
      <c r="E28" s="5"/>
      <c r="F28" s="5"/>
      <c r="G28" s="5"/>
      <c r="H28" s="5"/>
      <c r="I28" s="58">
        <f t="shared" si="0"/>
        <v>10519.199999999999</v>
      </c>
      <c r="J28" s="34">
        <f>+I28*$C$9*(1+$C$10)^D27</f>
        <v>4514.70464751257</v>
      </c>
      <c r="K28" s="41">
        <f>IF($C$4&gt;1,IF(D28&lt;=$C$4,-PMT($C$6,$C$4,$H$3),0),IF(D28&gt;1,0,$H$3))+IF($C$14&gt;1,IF(AND(D28&gt;14,D28&lt;=14+$C$14),-PMT($C$6,$C$14,$E$17),0),IF(D28=15,$E$17,0))+IF($C$14&gt;1,IF(AND(D28&gt;29,D28&lt;=29+$C$14),-PMT($C$6,$C$14,$E$17),0),IF(D28=30,$E$32,0))</f>
        <v>0</v>
      </c>
      <c r="L28" s="41">
        <f>+$C$12*I28</f>
        <v>3155.7599999999998</v>
      </c>
      <c r="M28" s="41"/>
      <c r="N28" s="41">
        <f t="shared" si="1"/>
        <v>7670.46464751257</v>
      </c>
      <c r="O28" s="59">
        <f t="shared" si="2"/>
        <v>123109.30623707655</v>
      </c>
      <c r="P28" s="44">
        <v>26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C28" s="9"/>
      <c r="AD28" s="9"/>
      <c r="AE28" s="9"/>
      <c r="AF28" s="9"/>
      <c r="AG28" s="9"/>
    </row>
    <row r="29" spans="1:16" ht="15">
      <c r="A29" s="64"/>
      <c r="B29" s="64"/>
      <c r="C29" s="64"/>
      <c r="D29" s="44">
        <v>27</v>
      </c>
      <c r="E29" s="5"/>
      <c r="F29" s="5"/>
      <c r="G29" s="5"/>
      <c r="H29" s="5"/>
      <c r="I29" s="58">
        <f t="shared" si="0"/>
        <v>10519.199999999999</v>
      </c>
      <c r="J29" s="34">
        <f>+I29*$C$9*(1+$C$10)^D28</f>
        <v>4785.586926363324</v>
      </c>
      <c r="K29" s="41">
        <f>IF($C$4&gt;1,IF(D29&lt;=$C$4,-PMT($C$6,$C$4,$H$3),0),IF(D29&gt;1,0,$H$3))+IF($C$14&gt;1,IF(AND(D29&gt;14,D29&lt;=14+$C$14),-PMT($C$6,$C$14,$E$17),0),IF(D29=15,$E$17,0))+IF($C$14&gt;1,IF(AND(D29&gt;29,D29&lt;=29+$C$14),-PMT($C$6,$C$14,$E$17),0),IF(D29=30,$E$32,0))</f>
        <v>0</v>
      </c>
      <c r="L29" s="41">
        <f>+$C$12*I29</f>
        <v>3155.7599999999998</v>
      </c>
      <c r="M29" s="41"/>
      <c r="N29" s="41">
        <f t="shared" si="1"/>
        <v>7941.346926363323</v>
      </c>
      <c r="O29" s="59">
        <f t="shared" si="2"/>
        <v>131050.65316343989</v>
      </c>
      <c r="P29" s="44">
        <v>27</v>
      </c>
    </row>
    <row r="30" spans="1:16" ht="15">
      <c r="A30" s="64"/>
      <c r="B30" s="64"/>
      <c r="C30" s="64"/>
      <c r="D30" s="44">
        <v>28</v>
      </c>
      <c r="E30" s="5"/>
      <c r="F30" s="5"/>
      <c r="G30" s="5"/>
      <c r="H30" s="5"/>
      <c r="I30" s="58">
        <f t="shared" si="0"/>
        <v>10519.199999999999</v>
      </c>
      <c r="J30" s="34">
        <f>+I30*$C$9*(1+$C$10)^D29</f>
        <v>5072.722141945124</v>
      </c>
      <c r="K30" s="41">
        <f>IF($C$4&gt;1,IF(D30&lt;=$C$4,-PMT($C$6,$C$4,$H$3),0),IF(D30&gt;1,0,$H$3))+IF($C$14&gt;1,IF(AND(D30&gt;14,D30&lt;=14+$C$14),-PMT($C$6,$C$14,$E$17),0),IF(D30=15,$E$17,0))+IF($C$14&gt;1,IF(AND(D30&gt;29,D30&lt;=29+$C$14),-PMT($C$6,$C$14,$E$17),0),IF(D30=30,$E$32,0))</f>
        <v>0</v>
      </c>
      <c r="L30" s="41">
        <f>+$C$12*I30</f>
        <v>3155.7599999999998</v>
      </c>
      <c r="M30" s="41"/>
      <c r="N30" s="41">
        <f t="shared" si="1"/>
        <v>8228.482141945124</v>
      </c>
      <c r="O30" s="59">
        <f t="shared" si="2"/>
        <v>139279.13530538502</v>
      </c>
      <c r="P30" s="44">
        <v>28</v>
      </c>
    </row>
    <row r="31" spans="1:16" ht="15">
      <c r="A31" s="64"/>
      <c r="B31" s="64"/>
      <c r="C31" s="64"/>
      <c r="D31" s="44">
        <v>29</v>
      </c>
      <c r="E31" s="5"/>
      <c r="F31" s="5"/>
      <c r="G31" s="5"/>
      <c r="H31" s="5"/>
      <c r="I31" s="58">
        <f t="shared" si="0"/>
        <v>10519.199999999999</v>
      </c>
      <c r="J31" s="34">
        <f>+I31*$C$9*(1+$C$10)^D30</f>
        <v>5377.085470461832</v>
      </c>
      <c r="K31" s="41">
        <f>IF($C$4&gt;1,IF(D31&lt;=$C$4,-PMT($C$6,$C$4,$H$3),0),IF(D31&gt;1,0,$H$3))+IF($C$14&gt;1,IF(AND(D31&gt;14,D31&lt;=14+$C$14),-PMT($C$6,$C$14,$E$17),0),IF(D31=15,$E$17,0))+IF($C$14&gt;1,IF(AND(D31&gt;29,D31&lt;=29+$C$14),-PMT($C$6,$C$14,$E$17),0),IF(D31=30,$E$32,0))</f>
        <v>0</v>
      </c>
      <c r="L31" s="41">
        <f>+$C$12*I31</f>
        <v>3155.7599999999998</v>
      </c>
      <c r="M31" s="41"/>
      <c r="N31" s="41">
        <f t="shared" si="1"/>
        <v>8532.845470461833</v>
      </c>
      <c r="O31" s="59">
        <f t="shared" si="2"/>
        <v>147811.98077584684</v>
      </c>
      <c r="P31" s="44">
        <v>29</v>
      </c>
    </row>
    <row r="32" spans="1:16" ht="15">
      <c r="A32" t="s">
        <v>50</v>
      </c>
      <c r="B32" s="64"/>
      <c r="C32" s="64"/>
      <c r="D32" s="44">
        <v>30</v>
      </c>
      <c r="E32" s="5">
        <f>+C15</f>
        <v>5000</v>
      </c>
      <c r="F32" s="5"/>
      <c r="G32" s="5"/>
      <c r="H32" s="5"/>
      <c r="I32" s="58">
        <f t="shared" si="0"/>
        <v>10519.199999999999</v>
      </c>
      <c r="J32" s="34">
        <f>+I32*$C$9*(1+$C$10)^D31</f>
        <v>5699.710598689542</v>
      </c>
      <c r="K32" s="41">
        <f>IF($C$4&gt;1,IF(D32&lt;=$C$4,-PMT($C$6,$C$4,$H$3),0),IF(D32&gt;1,0,$H$3))+IF($C$14&gt;1,IF(AND(D32&gt;14,D32&lt;=14+$C$14),-PMT($C$6,$C$14,$E$17),0),IF(D32=15,$E$17,0))+IF($C$14&gt;1,IF(AND(D32&gt;29,D32&lt;=29+$C$14),-PMT($C$6,$C$14,$E$17),0),IF(D32=30,$E$32,0))</f>
        <v>5000</v>
      </c>
      <c r="L32" s="41">
        <f>+$C$12*I32</f>
        <v>3155.7599999999998</v>
      </c>
      <c r="M32" s="41"/>
      <c r="N32" s="41">
        <f t="shared" si="1"/>
        <v>3855.470598689542</v>
      </c>
      <c r="O32" s="59">
        <f t="shared" si="2"/>
        <v>151667.45137453638</v>
      </c>
      <c r="P32" s="44">
        <v>30</v>
      </c>
    </row>
    <row r="33" spans="1:16" ht="15">
      <c r="A33" s="64"/>
      <c r="B33" s="64"/>
      <c r="C33" s="64"/>
      <c r="D33" s="44">
        <v>31</v>
      </c>
      <c r="I33" s="58">
        <f t="shared" si="0"/>
        <v>10519.199999999999</v>
      </c>
      <c r="J33" s="34">
        <f>+I33*$C$9*(1+$C$10)^D32</f>
        <v>6041.693234610915</v>
      </c>
      <c r="K33" s="41">
        <f>IF($C$4&gt;1,IF(D33&lt;=$C$4,-PMT($C$6,$C$4,$H$3),0),IF(D33&gt;1,0,$H$3))+IF($C$14&gt;1,IF(AND(D33&gt;14,D33&lt;=14+$C$14),-PMT($C$6,$C$14,$E$17),0),IF(D33=15,$E$17,0))+IF($C$14&gt;1,IF(AND(D33&gt;29,D33&lt;=29+$C$14),-PMT($C$6,$C$14,$E$17),0),IF(D33=30,$E$32,0))</f>
        <v>0</v>
      </c>
      <c r="L33" s="41">
        <f>+$C$12*I33</f>
        <v>3155.7599999999998</v>
      </c>
      <c r="M33" s="41"/>
      <c r="N33" s="41">
        <f t="shared" si="1"/>
        <v>9197.453234610915</v>
      </c>
      <c r="O33" s="59">
        <f t="shared" si="2"/>
        <v>160864.90460914728</v>
      </c>
      <c r="P33" s="44">
        <v>31</v>
      </c>
    </row>
    <row r="34" spans="1:16" ht="15">
      <c r="A34" s="64"/>
      <c r="B34" s="64"/>
      <c r="C34" s="64"/>
      <c r="D34" s="44">
        <v>32</v>
      </c>
      <c r="E34" s="5"/>
      <c r="F34" s="5"/>
      <c r="G34" s="5"/>
      <c r="H34" s="5"/>
      <c r="I34" s="58">
        <f t="shared" si="0"/>
        <v>10519.199999999999</v>
      </c>
      <c r="J34" s="34">
        <f>+I34*$C$9*(1+$C$10)^D33</f>
        <v>6404.194828687571</v>
      </c>
      <c r="K34" s="41">
        <f>IF($C$4&gt;1,IF(D34&lt;=$C$4,-PMT($C$6,$C$4,$H$3),0),IF(D34&gt;1,0,$H$3))+IF($C$14&gt;1,IF(AND(D34&gt;14,D34&lt;=14+$C$14),-PMT($C$6,$C$14,$E$17),0),IF(D34=15,$E$17,0))+IF($C$14&gt;1,IF(AND(D34&gt;29,D34&lt;=29+$C$14),-PMT($C$6,$C$14,$E$17),0),IF(D34=30,$E$32,0))</f>
        <v>0</v>
      </c>
      <c r="L34" s="41">
        <f>+$C$12*I34</f>
        <v>3155.7599999999998</v>
      </c>
      <c r="M34" s="41"/>
      <c r="N34" s="41">
        <f t="shared" si="1"/>
        <v>9559.95482868757</v>
      </c>
      <c r="O34" s="59">
        <f t="shared" si="2"/>
        <v>170424.85943783485</v>
      </c>
      <c r="P34" s="44">
        <v>32</v>
      </c>
    </row>
    <row r="35" spans="1:16" ht="15">
      <c r="A35" s="64"/>
      <c r="B35" s="64"/>
      <c r="C35" s="64"/>
      <c r="D35" s="44">
        <v>33</v>
      </c>
      <c r="E35" s="5"/>
      <c r="F35" s="5"/>
      <c r="G35" s="5"/>
      <c r="H35" s="5"/>
      <c r="I35" s="58">
        <f t="shared" si="0"/>
        <v>10519.199999999999</v>
      </c>
      <c r="J35" s="34">
        <f>+I35*$C$9*(1+$C$10)^D34</f>
        <v>6788.446518408824</v>
      </c>
      <c r="K35" s="41">
        <f>IF($C$4&gt;1,IF(D35&lt;=$C$4,-PMT($C$6,$C$4,$H$3),0),IF(D35&gt;1,0,$H$3))+IF($C$14&gt;1,IF(AND(D35&gt;14,D35&lt;=14+$C$14),-PMT($C$6,$C$14,$E$17),0),IF(D35=15,$E$17,0))+IF($C$14&gt;1,IF(AND(D35&gt;29,D35&lt;=29+$C$14),-PMT($C$6,$C$14,$E$17),0),IF(D35=30,$E$32,0))</f>
        <v>0</v>
      </c>
      <c r="L35" s="41">
        <f>+$C$12*I35</f>
        <v>3155.7599999999998</v>
      </c>
      <c r="M35" s="41"/>
      <c r="N35" s="41">
        <f t="shared" si="1"/>
        <v>9944.206518408824</v>
      </c>
      <c r="O35" s="59">
        <f t="shared" si="2"/>
        <v>180369.06595624366</v>
      </c>
      <c r="P35" s="44">
        <v>33</v>
      </c>
    </row>
    <row r="36" spans="1:16" ht="15">
      <c r="A36" s="64"/>
      <c r="B36" s="64"/>
      <c r="C36" s="64"/>
      <c r="D36" s="44">
        <v>34</v>
      </c>
      <c r="E36" s="5"/>
      <c r="F36" s="5"/>
      <c r="G36" s="5"/>
      <c r="H36" s="5"/>
      <c r="I36" s="58">
        <f t="shared" si="0"/>
        <v>10519.199999999999</v>
      </c>
      <c r="J36" s="34">
        <f>+I36*$C$9*(1+$C$10)^D35</f>
        <v>7195.753309513354</v>
      </c>
      <c r="K36" s="41">
        <f>IF($C$4&gt;1,IF(D36&lt;=$C$4,-PMT($C$6,$C$4,$H$3),0),IF(D36&gt;1,0,$H$3))+IF($C$14&gt;1,IF(AND(D36&gt;14,D36&lt;=14+$C$14),-PMT($C$6,$C$14,$E$17),0),IF(D36=15,$E$17,0))+IF($C$14&gt;1,IF(AND(D36&gt;29,D36&lt;=29+$C$14),-PMT($C$6,$C$14,$E$17),0),IF(D36=30,$E$32,0))</f>
        <v>0</v>
      </c>
      <c r="L36" s="41">
        <f>+$C$12*I36</f>
        <v>3155.7599999999998</v>
      </c>
      <c r="M36" s="41"/>
      <c r="N36" s="41">
        <f t="shared" si="1"/>
        <v>10351.513309513353</v>
      </c>
      <c r="O36" s="59">
        <f t="shared" si="2"/>
        <v>190720.57926575703</v>
      </c>
      <c r="P36" s="44">
        <v>34</v>
      </c>
    </row>
    <row r="37" spans="1:16" ht="15">
      <c r="A37" s="64"/>
      <c r="B37" s="64"/>
      <c r="C37" s="64"/>
      <c r="D37" s="44">
        <v>35</v>
      </c>
      <c r="E37" s="5"/>
      <c r="F37" s="5"/>
      <c r="G37" s="5"/>
      <c r="H37" s="5"/>
      <c r="I37" s="58">
        <f t="shared" si="0"/>
        <v>10519.199999999999</v>
      </c>
      <c r="J37" s="34">
        <f>+I37*$C$9*(1+$C$10)^D36</f>
        <v>7627.498508084156</v>
      </c>
      <c r="K37" s="41">
        <f>IF($C$4&gt;1,IF(D37&lt;=$C$4,-PMT($C$6,$C$4,$H$3),0),IF(D37&gt;1,0,$H$3))+IF($C$14&gt;1,IF(AND(D37&gt;14,D37&lt;=14+$C$14),-PMT($C$6,$C$14,$E$17),0),IF(D37=15,$E$17,0))+IF($C$14&gt;1,IF(AND(D37&gt;29,D37&lt;=29+$C$14),-PMT($C$6,$C$14,$E$17),0),IF(D37=30,$E$32,0))</f>
        <v>0</v>
      </c>
      <c r="L37" s="41">
        <f>+$C$12*I37</f>
        <v>3155.7599999999998</v>
      </c>
      <c r="M37" s="41"/>
      <c r="N37" s="41">
        <f t="shared" si="1"/>
        <v>10783.258508084156</v>
      </c>
      <c r="O37" s="59">
        <f t="shared" si="2"/>
        <v>201503.8377738412</v>
      </c>
      <c r="P37" s="44">
        <v>35</v>
      </c>
    </row>
    <row r="38" spans="1:16" ht="15">
      <c r="A38" s="64"/>
      <c r="B38" s="64"/>
      <c r="C38" s="64"/>
      <c r="D38" s="44">
        <v>36</v>
      </c>
      <c r="E38" s="3"/>
      <c r="F38" s="3"/>
      <c r="G38" s="3"/>
      <c r="H38" s="3"/>
      <c r="I38" s="58">
        <f t="shared" si="0"/>
        <v>10519.199999999999</v>
      </c>
      <c r="J38" s="34">
        <f>+I38*$C$9*(1+$C$10)^D37</f>
        <v>8085.148418569206</v>
      </c>
      <c r="K38" s="41">
        <f>IF($C$4&gt;1,IF(D38&lt;=$C$4,-PMT($C$6,$C$4,$H$3),0),IF(D38&gt;1,0,$H$3))+IF($C$14&gt;1,IF(AND(D38&gt;14,D38&lt;=14+$C$14),-PMT($C$6,$C$14,$E$17),0),IF(D38=15,$E$17,0))+IF($C$14&gt;1,IF(AND(D38&gt;29,D38&lt;=29+$C$14),-PMT($C$6,$C$14,$E$17),0),IF(D38=30,$E$32,0))</f>
        <v>0</v>
      </c>
      <c r="L38" s="41">
        <f>+$C$12*I38</f>
        <v>3155.7599999999998</v>
      </c>
      <c r="M38" s="41"/>
      <c r="N38" s="41">
        <f t="shared" si="1"/>
        <v>11240.908418569206</v>
      </c>
      <c r="O38" s="59">
        <f t="shared" si="2"/>
        <v>212744.7461924104</v>
      </c>
      <c r="P38" s="44">
        <v>36</v>
      </c>
    </row>
    <row r="39" spans="1:16" ht="15">
      <c r="A39" s="64"/>
      <c r="B39" s="64"/>
      <c r="C39" s="64"/>
      <c r="D39" s="44">
        <v>37</v>
      </c>
      <c r="E39" s="3"/>
      <c r="F39" s="3"/>
      <c r="G39" s="3"/>
      <c r="H39" s="3"/>
      <c r="I39" s="58">
        <f t="shared" si="0"/>
        <v>10519.199999999999</v>
      </c>
      <c r="J39" s="34">
        <f>+I39*$C$9*(1+$C$10)^D38</f>
        <v>8570.25732368336</v>
      </c>
      <c r="K39" s="41">
        <f>IF($C$4&gt;1,IF(D39&lt;=$C$4,-PMT($C$6,$C$4,$H$3),0),IF(D39&gt;1,0,$H$3))+IF($C$14&gt;1,IF(AND(D39&gt;14,D39&lt;=14+$C$14),-PMT($C$6,$C$14,$E$17),0),IF(D39=15,$E$17,0))+IF($C$14&gt;1,IF(AND(D39&gt;29,D39&lt;=29+$C$14),-PMT($C$6,$C$14,$E$17),0),IF(D39=30,$E$32,0))</f>
        <v>0</v>
      </c>
      <c r="L39" s="41">
        <f>+$C$12*I39</f>
        <v>3155.7599999999998</v>
      </c>
      <c r="M39" s="41"/>
      <c r="N39" s="41">
        <f t="shared" si="1"/>
        <v>11726.01732368336</v>
      </c>
      <c r="O39" s="59">
        <f t="shared" si="2"/>
        <v>224470.76351609378</v>
      </c>
      <c r="P39" s="44">
        <v>37</v>
      </c>
    </row>
    <row r="40" spans="1:16" ht="15">
      <c r="A40" s="64"/>
      <c r="B40" s="64"/>
      <c r="C40" s="64"/>
      <c r="D40" s="44">
        <v>38</v>
      </c>
      <c r="E40" s="3"/>
      <c r="F40" s="3"/>
      <c r="G40" s="3"/>
      <c r="H40" s="3"/>
      <c r="I40" s="58">
        <f t="shared" si="0"/>
        <v>10519.199999999999</v>
      </c>
      <c r="J40" s="34">
        <f>+I40*$C$9*(1+$C$10)^D39</f>
        <v>9084.47276310436</v>
      </c>
      <c r="K40" s="41">
        <f>IF($C$4&gt;1,IF(D40&lt;=$C$4,-PMT($C$6,$C$4,$H$3),0),IF(D40&gt;1,0,$H$3))+IF($C$14&gt;1,IF(AND(D40&gt;14,D40&lt;=14+$C$14),-PMT($C$6,$C$14,$E$17),0),IF(D40=15,$E$17,0))+IF($C$14&gt;1,IF(AND(D40&gt;29,D40&lt;=29+$C$14),-PMT($C$6,$C$14,$E$17),0),IF(D40=30,$E$32,0))</f>
        <v>0</v>
      </c>
      <c r="L40" s="41">
        <f>+$C$12*I40</f>
        <v>3155.7599999999998</v>
      </c>
      <c r="M40" s="41"/>
      <c r="N40" s="41">
        <f t="shared" si="1"/>
        <v>12240.23276310436</v>
      </c>
      <c r="O40" s="59">
        <f t="shared" si="2"/>
        <v>236710.99627919815</v>
      </c>
      <c r="P40" s="44">
        <v>38</v>
      </c>
    </row>
    <row r="41" spans="1:16" ht="15">
      <c r="A41" s="64"/>
      <c r="B41" s="64"/>
      <c r="C41" s="64"/>
      <c r="D41" s="44">
        <v>39</v>
      </c>
      <c r="E41" s="3"/>
      <c r="F41" s="3"/>
      <c r="G41" s="3"/>
      <c r="H41" s="3"/>
      <c r="I41" s="58">
        <f t="shared" si="0"/>
        <v>10519.199999999999</v>
      </c>
      <c r="J41" s="34">
        <f>+I41*$C$9*(1+$C$10)^D40</f>
        <v>9629.541128890623</v>
      </c>
      <c r="K41" s="41">
        <f>IF($C$4&gt;1,IF(D41&lt;=$C$4,-PMT($C$6,$C$4,$H$3),0),IF(D41&gt;1,0,$H$3))+IF($C$14&gt;1,IF(AND(D41&gt;14,D41&lt;=14+$C$14),-PMT($C$6,$C$14,$E$17),0),IF(D41=15,$E$17,0))+IF($C$14&gt;1,IF(AND(D41&gt;29,D41&lt;=29+$C$14),-PMT($C$6,$C$14,$E$17),0),IF(D41=30,$E$32,0))</f>
        <v>0</v>
      </c>
      <c r="L41" s="41">
        <f>+$C$12*I41</f>
        <v>3155.7599999999998</v>
      </c>
      <c r="M41" s="41"/>
      <c r="N41" s="41">
        <f t="shared" si="1"/>
        <v>12785.301128890624</v>
      </c>
      <c r="O41" s="59">
        <f t="shared" si="2"/>
        <v>249496.29740808878</v>
      </c>
      <c r="P41" s="44">
        <v>39</v>
      </c>
    </row>
    <row r="42" spans="1:16" ht="15">
      <c r="A42" s="64"/>
      <c r="B42" s="64"/>
      <c r="C42" s="64"/>
      <c r="D42" s="44">
        <v>40</v>
      </c>
      <c r="E42" s="3"/>
      <c r="F42" s="3"/>
      <c r="G42" s="3"/>
      <c r="H42" s="3"/>
      <c r="I42" s="58">
        <f t="shared" si="0"/>
        <v>10519.199999999999</v>
      </c>
      <c r="J42" s="34">
        <f>+I42*$C$9*(1+$C$10)^D41</f>
        <v>10207.313596624062</v>
      </c>
      <c r="K42" s="41">
        <f>IF($C$4&gt;1,IF(D42&lt;=$C$4,-PMT($C$6,$C$4,$H$3),0),IF(D42&gt;1,0,$H$3))+IF($C$14&gt;1,IF(AND(D42&gt;14,D42&lt;=14+$C$14),-PMT($C$6,$C$14,$E$17),0),IF(D42=15,$E$17,0))+IF($C$14&gt;1,IF(AND(D42&gt;29,D42&lt;=29+$C$14),-PMT($C$6,$C$14,$E$17),0),IF(D42=30,$E$32,0))</f>
        <v>0</v>
      </c>
      <c r="L42" s="41">
        <f>+$C$12*I42</f>
        <v>3155.7599999999998</v>
      </c>
      <c r="M42" s="41"/>
      <c r="N42" s="41">
        <f t="shared" si="1"/>
        <v>13363.073596624063</v>
      </c>
      <c r="O42" s="59">
        <f t="shared" si="2"/>
        <v>262859.3710047128</v>
      </c>
      <c r="P42" s="44">
        <v>40</v>
      </c>
    </row>
    <row r="43" spans="1:16" ht="15">
      <c r="A43" s="64"/>
      <c r="B43" s="64"/>
      <c r="C43" s="64"/>
      <c r="D43" s="44">
        <v>41</v>
      </c>
      <c r="E43" s="3"/>
      <c r="F43" s="3"/>
      <c r="G43" s="3"/>
      <c r="H43" s="3"/>
      <c r="I43" s="58">
        <f t="shared" si="0"/>
        <v>10519.199999999999</v>
      </c>
      <c r="J43" s="34">
        <f>+I43*$C$9*(1+$C$10)^D42</f>
        <v>10819.752412421505</v>
      </c>
      <c r="K43" s="41">
        <f>IF($C$4&gt;1,IF(D43&lt;=$C$4,-PMT($C$6,$C$4,$H$3),0),IF(D43&gt;1,0,$H$3))+IF($C$14&gt;1,IF(AND(D43&gt;14,D43&lt;=14+$C$14),-PMT($C$6,$C$14,$E$17),0),IF(D43=15,$E$17,0))+IF($C$14&gt;1,IF(AND(D43&gt;29,D43&lt;=29+$C$14),-PMT($C$6,$C$14,$E$17),0),IF(D43=30,$E$32,0))</f>
        <v>0</v>
      </c>
      <c r="L43" s="41">
        <f>+$C$12*I43</f>
        <v>3155.7599999999998</v>
      </c>
      <c r="M43" s="41"/>
      <c r="N43" s="41">
        <f t="shared" si="1"/>
        <v>13975.512412421505</v>
      </c>
      <c r="O43" s="59">
        <f t="shared" si="2"/>
        <v>276834.88341713435</v>
      </c>
      <c r="P43" s="44">
        <v>41</v>
      </c>
    </row>
    <row r="44" spans="1:16" ht="15">
      <c r="A44" s="64"/>
      <c r="B44" s="64"/>
      <c r="C44" s="64"/>
      <c r="D44" s="44">
        <v>42</v>
      </c>
      <c r="E44" s="3"/>
      <c r="F44" s="3"/>
      <c r="G44" s="3"/>
      <c r="H44" s="3"/>
      <c r="I44" s="58">
        <f t="shared" si="0"/>
        <v>10519.199999999999</v>
      </c>
      <c r="J44" s="34">
        <f>+I44*$C$9*(1+$C$10)^D43</f>
        <v>11468.937557166795</v>
      </c>
      <c r="K44" s="41">
        <f>IF($C$4&gt;1,IF(D44&lt;=$C$4,-PMT($C$6,$C$4,$H$3),0),IF(D44&gt;1,0,$H$3))+IF($C$14&gt;1,IF(AND(D44&gt;14,D44&lt;=14+$C$14),-PMT($C$6,$C$14,$E$17),0),IF(D44=15,$E$17,0))+IF($C$14&gt;1,IF(AND(D44&gt;29,D44&lt;=29+$C$14),-PMT($C$6,$C$14,$E$17),0),IF(D44=30,$E$32,0))</f>
        <v>0</v>
      </c>
      <c r="L44" s="41">
        <f>+$C$12*I44</f>
        <v>3155.7599999999998</v>
      </c>
      <c r="M44" s="41"/>
      <c r="N44" s="41">
        <f t="shared" si="1"/>
        <v>14624.697557166795</v>
      </c>
      <c r="O44" s="59">
        <f t="shared" si="2"/>
        <v>291459.58097430115</v>
      </c>
      <c r="P44" s="44">
        <v>42</v>
      </c>
    </row>
    <row r="45" spans="1:16" ht="15">
      <c r="A45" s="64"/>
      <c r="B45" s="64"/>
      <c r="C45" s="64"/>
      <c r="D45" s="44">
        <v>43</v>
      </c>
      <c r="E45" s="3"/>
      <c r="F45" s="3"/>
      <c r="G45" s="3"/>
      <c r="H45" s="3"/>
      <c r="I45" s="58">
        <f t="shared" si="0"/>
        <v>10519.199999999999</v>
      </c>
      <c r="J45" s="34">
        <f>+I45*$C$9*(1+$C$10)^D44</f>
        <v>12157.073810596805</v>
      </c>
      <c r="K45" s="41">
        <f>IF($C$4&gt;1,IF(D45&lt;=$C$4,-PMT($C$6,$C$4,$H$3),0),IF(D45&gt;1,0,$H$3))+IF($C$14&gt;1,IF(AND(D45&gt;14,D45&lt;=14+$C$14),-PMT($C$6,$C$14,$E$17),0),IF(D45=15,$E$17,0))+IF($C$14&gt;1,IF(AND(D45&gt;29,D45&lt;=29+$C$14),-PMT($C$6,$C$14,$E$17),0),IF(D45=30,$E$32,0))</f>
        <v>0</v>
      </c>
      <c r="L45" s="41">
        <f>+$C$12*I45</f>
        <v>3155.7599999999998</v>
      </c>
      <c r="M45" s="41"/>
      <c r="N45" s="41">
        <f t="shared" si="1"/>
        <v>15312.833810596805</v>
      </c>
      <c r="O45" s="59">
        <f t="shared" si="2"/>
        <v>306772.41478489793</v>
      </c>
      <c r="P45" s="44">
        <v>43</v>
      </c>
    </row>
    <row r="46" spans="1:16" ht="15">
      <c r="A46" s="64"/>
      <c r="B46" s="64"/>
      <c r="C46" s="64"/>
      <c r="D46" s="44">
        <v>44</v>
      </c>
      <c r="E46" s="3"/>
      <c r="F46" s="3"/>
      <c r="G46" s="3"/>
      <c r="H46" s="3"/>
      <c r="I46" s="58">
        <f t="shared" si="0"/>
        <v>10519.199999999999</v>
      </c>
      <c r="J46" s="34">
        <f>+I46*$C$9*(1+$C$10)^D45</f>
        <v>12886.498239232615</v>
      </c>
      <c r="K46" s="41">
        <f>IF($C$4&gt;1,IF(D46&lt;=$C$4,-PMT($C$6,$C$4,$H$3),0),IF(D46&gt;1,0,$H$3))+IF($C$14&gt;1,IF(AND(D46&gt;14,D46&lt;=14+$C$14),-PMT($C$6,$C$14,$E$17),0),IF(D46=15,$E$17,0))+IF($C$14&gt;1,IF(AND(D46&gt;29,D46&lt;=29+$C$14),-PMT($C$6,$C$14,$E$17),0),IF(D46=30,$E$32,0))</f>
        <v>0</v>
      </c>
      <c r="L46" s="41">
        <f>+$C$12*I46</f>
        <v>3155.7599999999998</v>
      </c>
      <c r="M46" s="41"/>
      <c r="N46" s="41">
        <f t="shared" si="1"/>
        <v>16042.258239232615</v>
      </c>
      <c r="O46" s="59">
        <f t="shared" si="2"/>
        <v>322814.6730241305</v>
      </c>
      <c r="P46" s="44">
        <v>44</v>
      </c>
    </row>
    <row r="47" spans="1:16" ht="15">
      <c r="A47" t="s">
        <v>50</v>
      </c>
      <c r="B47" s="64"/>
      <c r="C47" s="64"/>
      <c r="D47" s="44">
        <v>45</v>
      </c>
      <c r="E47" s="67">
        <f>+C15</f>
        <v>5000</v>
      </c>
      <c r="I47" s="58">
        <f t="shared" si="0"/>
        <v>10519.199999999999</v>
      </c>
      <c r="J47" s="34">
        <f>+I47*$C$9*(1+$C$10)^D46</f>
        <v>13659.688133586573</v>
      </c>
      <c r="K47" s="41">
        <f>IF($C$4&gt;1,IF(D47&lt;=$C$4,-PMT($C$6,$C$4,$H$3),0),IF(D47&gt;1,0,$H$3))+IF($C$14&gt;1,IF(AND(D47&gt;14,D47&lt;=14+$C$14),-PMT($C$6,$C$14,$E$17),0),IF(D47=15,$E$17,0))+IF($C$14&gt;1,IF(AND(D47&gt;29,D47&lt;=29+$C$14),-PMT($C$6,$C$14,$E$17),0),IF(D47=30,$E$32,0))+E47</f>
        <v>5000</v>
      </c>
      <c r="L47" s="41">
        <f>+$C$12*I47</f>
        <v>3155.7599999999998</v>
      </c>
      <c r="M47" s="41"/>
      <c r="N47" s="41">
        <f t="shared" si="1"/>
        <v>11815.448133586573</v>
      </c>
      <c r="O47" s="59">
        <f t="shared" si="2"/>
        <v>334630.1211577171</v>
      </c>
      <c r="P47" s="44">
        <v>45</v>
      </c>
    </row>
    <row r="48" spans="1:16" ht="15">
      <c r="A48" s="64"/>
      <c r="B48" s="64"/>
      <c r="C48" s="64"/>
      <c r="I48" s="60"/>
      <c r="J48" s="36"/>
      <c r="K48" s="61" t="s">
        <v>25</v>
      </c>
      <c r="L48" s="61"/>
      <c r="M48" s="61"/>
      <c r="N48" s="62">
        <f>+SUM(N3:N47)</f>
        <v>334630.1211577171</v>
      </c>
      <c r="O48" s="63"/>
      <c r="P48" s="44"/>
    </row>
    <row r="49" spans="1:3" ht="15">
      <c r="A49" s="64"/>
      <c r="B49" s="64"/>
      <c r="C49" s="64"/>
    </row>
    <row r="50" spans="4:27" ht="15">
      <c r="D50" s="5" t="s">
        <v>16</v>
      </c>
      <c r="E50" s="5"/>
      <c r="F50" s="5"/>
      <c r="G50" s="5"/>
      <c r="H50" s="5"/>
      <c r="I50" s="43"/>
      <c r="J50" s="5">
        <f>+SUM(J3:J32)</f>
        <v>83162.88724351519</v>
      </c>
      <c r="K50" s="5">
        <f>+SUM(K3:K32)</f>
        <v>26168.23586897877</v>
      </c>
      <c r="L50" s="5"/>
      <c r="M50" s="5"/>
      <c r="P50" s="5" t="s">
        <v>16</v>
      </c>
      <c r="AA50" s="5"/>
    </row>
  </sheetData>
  <sheetProtection sheet="1"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19.00390625" style="0" customWidth="1"/>
    <col min="3" max="3" width="7.140625" style="0" bestFit="1" customWidth="1"/>
    <col min="4" max="4" width="4.8515625" style="2" bestFit="1" customWidth="1"/>
    <col min="5" max="5" width="8.57421875" style="2" bestFit="1" customWidth="1"/>
    <col min="6" max="6" width="8.140625" style="2" bestFit="1" customWidth="1"/>
    <col min="7" max="7" width="10.00390625" style="0" bestFit="1" customWidth="1"/>
    <col min="8" max="8" width="9.00390625" style="0" bestFit="1" customWidth="1"/>
    <col min="9" max="9" width="9.28125" style="0" bestFit="1" customWidth="1"/>
    <col min="10" max="10" width="7.28125" style="0" bestFit="1" customWidth="1"/>
    <col min="11" max="11" width="7.28125" style="0" customWidth="1"/>
    <col min="12" max="12" width="13.140625" style="0" bestFit="1" customWidth="1"/>
    <col min="13" max="13" width="11.28125" style="17" bestFit="1" customWidth="1"/>
    <col min="14" max="14" width="4.8515625" style="2" bestFit="1" customWidth="1"/>
  </cols>
  <sheetData>
    <row r="1" spans="1:17" ht="18.75">
      <c r="A1" s="4" t="s">
        <v>31</v>
      </c>
      <c r="C1" s="22" t="s">
        <v>37</v>
      </c>
      <c r="G1" s="2"/>
      <c r="H1" s="2"/>
      <c r="L1" s="2"/>
      <c r="M1" s="15"/>
      <c r="O1" s="24" t="s">
        <v>36</v>
      </c>
      <c r="P1" s="7"/>
      <c r="Q1" s="7"/>
    </row>
    <row r="2" spans="1:18" ht="15.75">
      <c r="A2" s="19" t="s">
        <v>30</v>
      </c>
      <c r="D2" s="2" t="s">
        <v>11</v>
      </c>
      <c r="E2" s="2" t="s">
        <v>13</v>
      </c>
      <c r="F2" s="2" t="s">
        <v>33</v>
      </c>
      <c r="G2" t="s">
        <v>14</v>
      </c>
      <c r="H2" s="3" t="s">
        <v>18</v>
      </c>
      <c r="I2" t="s">
        <v>15</v>
      </c>
      <c r="J2" s="2" t="s">
        <v>20</v>
      </c>
      <c r="K2" s="2" t="s">
        <v>24</v>
      </c>
      <c r="L2" s="2" t="s">
        <v>26</v>
      </c>
      <c r="M2" s="16" t="s">
        <v>27</v>
      </c>
      <c r="N2" s="2" t="s">
        <v>11</v>
      </c>
      <c r="O2" s="9"/>
      <c r="P2" s="9"/>
      <c r="Q2" s="9"/>
      <c r="R2" s="9"/>
    </row>
    <row r="3" spans="1:18" ht="15">
      <c r="A3" t="s">
        <v>7</v>
      </c>
      <c r="C3" s="25">
        <v>23</v>
      </c>
      <c r="D3" s="2">
        <v>1</v>
      </c>
      <c r="E3" s="3">
        <f>+C6*C3</f>
        <v>115000</v>
      </c>
      <c r="F3" s="3">
        <f>+E3*C14</f>
        <v>34500</v>
      </c>
      <c r="G3" s="6">
        <f>+$C$3*$C$7*$C$9*365.25</f>
        <v>29108.59875</v>
      </c>
      <c r="H3" s="3">
        <f>+G3*$C$10</f>
        <v>2910.859875</v>
      </c>
      <c r="I3" s="12">
        <f>IF($C$4&gt;1,IF(D3&lt;=$C$4,-PMT($C$5,$C$4,$E$3-$F$3),0),IF(D3&gt;1,0,$E$3-$F$3))+IF($C$12&gt;1,IF(AND(D3&gt;14,D3&lt;=14+$C$12),-PMT($C$5,$C$12,$E$17),0),IF(D3=15,$E$17,0))+IF($C$12&gt;1,IF(AND(D3&gt;29,D3&lt;=29+$C$12),-PMT($C$5,$C$12,$E$17),0),IF(D3=30,$E$32,0))</f>
        <v>18593.471249325583</v>
      </c>
      <c r="J3" s="12">
        <f aca="true" t="shared" si="0" ref="J3:J47">+$C$15*G3</f>
        <v>0</v>
      </c>
      <c r="K3" s="12">
        <f>+$C$3*$C$6*$C$16/5</f>
        <v>4600</v>
      </c>
      <c r="L3" s="12">
        <f aca="true" t="shared" si="1" ref="L3:L8">+H3-I3+J3+K3</f>
        <v>-11082.611374325583</v>
      </c>
      <c r="M3" s="21">
        <f>+L3</f>
        <v>-11082.611374325583</v>
      </c>
      <c r="N3" s="2">
        <v>1</v>
      </c>
      <c r="O3" s="7"/>
      <c r="P3" s="7"/>
      <c r="Q3" s="7"/>
      <c r="R3" s="9"/>
    </row>
    <row r="4" spans="1:18" ht="15">
      <c r="A4" t="s">
        <v>22</v>
      </c>
      <c r="C4" s="25">
        <v>5</v>
      </c>
      <c r="D4" s="2">
        <v>2</v>
      </c>
      <c r="G4" s="6">
        <f aca="true" t="shared" si="2" ref="G4:G47">+G3*(1-$C$8)</f>
        <v>28839.3442115625</v>
      </c>
      <c r="H4" s="3">
        <f aca="true" t="shared" si="3" ref="H4:H47">+G4*$C$10*(1+$C$11)^D3</f>
        <v>3056.9704864256255</v>
      </c>
      <c r="I4" s="12">
        <f aca="true" t="shared" si="4" ref="I4:I47">IF($C$4&gt;1,IF(D4&lt;=$C$4,-PMT($C$5,$C$4,$E$3-$F$3),0),IF(D4&gt;1,0,$E$3-$F$3))+IF($C$12&gt;1,IF(AND(D4&gt;14,D4&lt;=14+$C$12),-PMT($C$5,$C$12,$E$17),0),IF(D4=15,$E$17,0))+IF($C$12&gt;1,IF(AND(D4&gt;29,D4&lt;=29+$C$12),-PMT($C$5,$C$12,$E$17),0),IF(D4=30,$E$32,0))</f>
        <v>18593.471249325583</v>
      </c>
      <c r="J4" s="12">
        <f t="shared" si="0"/>
        <v>0</v>
      </c>
      <c r="K4" s="12">
        <f>+$C$3*$C$6*$C$16/5</f>
        <v>4600</v>
      </c>
      <c r="L4" s="12">
        <f t="shared" si="1"/>
        <v>-10936.500762899957</v>
      </c>
      <c r="M4" s="21">
        <f>+M3+L4</f>
        <v>-22019.11213722554</v>
      </c>
      <c r="N4" s="2">
        <v>2</v>
      </c>
      <c r="O4" s="8"/>
      <c r="P4" s="8"/>
      <c r="Q4" s="8"/>
      <c r="R4" s="9"/>
    </row>
    <row r="5" spans="1:18" ht="15">
      <c r="A5" t="s">
        <v>8</v>
      </c>
      <c r="C5" s="26">
        <v>0.05</v>
      </c>
      <c r="D5" s="2">
        <v>3</v>
      </c>
      <c r="E5" s="1"/>
      <c r="F5" s="1"/>
      <c r="G5" s="6">
        <f t="shared" si="2"/>
        <v>28572.580277605546</v>
      </c>
      <c r="H5" s="3">
        <f t="shared" si="3"/>
        <v>3210.4151199917596</v>
      </c>
      <c r="I5" s="12">
        <f t="shared" si="4"/>
        <v>18593.471249325583</v>
      </c>
      <c r="J5" s="12">
        <f t="shared" si="0"/>
        <v>0</v>
      </c>
      <c r="K5" s="12">
        <f>+$C$3*$C$6*$C$16/5</f>
        <v>4600</v>
      </c>
      <c r="L5" s="12">
        <f t="shared" si="1"/>
        <v>-10783.056129333823</v>
      </c>
      <c r="M5" s="21">
        <f aca="true" t="shared" si="5" ref="M5:M47">+M4+L5</f>
        <v>-32802.16826655936</v>
      </c>
      <c r="N5" s="2">
        <v>3</v>
      </c>
      <c r="O5" s="8"/>
      <c r="P5" s="8"/>
      <c r="Q5" s="8"/>
      <c r="R5" s="9"/>
    </row>
    <row r="6" spans="1:18" ht="15">
      <c r="A6" t="s">
        <v>0</v>
      </c>
      <c r="C6" s="27">
        <v>5000</v>
      </c>
      <c r="D6" s="2">
        <v>4</v>
      </c>
      <c r="E6" s="3"/>
      <c r="F6" s="3"/>
      <c r="G6" s="6">
        <f t="shared" si="2"/>
        <v>28308.283910037695</v>
      </c>
      <c r="H6" s="3">
        <f t="shared" si="3"/>
        <v>3371.5619069397467</v>
      </c>
      <c r="I6" s="12">
        <f t="shared" si="4"/>
        <v>18593.471249325583</v>
      </c>
      <c r="J6" s="12">
        <f t="shared" si="0"/>
        <v>0</v>
      </c>
      <c r="K6" s="12">
        <f>+$C$3*$C$6*$C$16/5</f>
        <v>4600</v>
      </c>
      <c r="L6" s="12">
        <f t="shared" si="1"/>
        <v>-10621.909342385836</v>
      </c>
      <c r="M6" s="21">
        <f t="shared" si="5"/>
        <v>-43424.0776089452</v>
      </c>
      <c r="N6" s="2">
        <v>4</v>
      </c>
      <c r="O6" s="8"/>
      <c r="P6" s="8"/>
      <c r="Q6" s="8"/>
      <c r="R6" s="9"/>
    </row>
    <row r="7" spans="1:18" ht="15">
      <c r="A7" t="s">
        <v>1</v>
      </c>
      <c r="C7" s="25">
        <v>0.77</v>
      </c>
      <c r="D7" s="2">
        <v>5</v>
      </c>
      <c r="E7" s="3"/>
      <c r="F7" s="3"/>
      <c r="G7" s="6">
        <f t="shared" si="2"/>
        <v>28046.432283869846</v>
      </c>
      <c r="H7" s="3">
        <f t="shared" si="3"/>
        <v>3540.7974568585873</v>
      </c>
      <c r="I7" s="12">
        <f t="shared" si="4"/>
        <v>18593.471249325583</v>
      </c>
      <c r="J7" s="12">
        <f t="shared" si="0"/>
        <v>0</v>
      </c>
      <c r="K7" s="12">
        <f>+$C$3*$C$6*$C$16/5</f>
        <v>4600</v>
      </c>
      <c r="L7" s="12">
        <f t="shared" si="1"/>
        <v>-10452.673792466996</v>
      </c>
      <c r="M7" s="21">
        <f t="shared" si="5"/>
        <v>-53876.75140141219</v>
      </c>
      <c r="N7" s="2">
        <v>5</v>
      </c>
      <c r="O7" s="8"/>
      <c r="P7" s="8"/>
      <c r="Q7" s="8"/>
      <c r="R7" s="9"/>
    </row>
    <row r="8" spans="1:18" ht="15">
      <c r="A8" t="s">
        <v>17</v>
      </c>
      <c r="C8" s="28">
        <v>0.00925</v>
      </c>
      <c r="D8" s="2">
        <v>6</v>
      </c>
      <c r="E8" s="3"/>
      <c r="F8" s="3"/>
      <c r="G8" s="6">
        <f t="shared" si="2"/>
        <v>27787.00278524405</v>
      </c>
      <c r="H8" s="3">
        <f t="shared" si="3"/>
        <v>3718.5277852056047</v>
      </c>
      <c r="I8" s="12">
        <f t="shared" si="4"/>
        <v>0</v>
      </c>
      <c r="J8" s="12">
        <f t="shared" si="0"/>
        <v>0</v>
      </c>
      <c r="K8" s="12"/>
      <c r="L8" s="12">
        <f t="shared" si="1"/>
        <v>3718.5277852056047</v>
      </c>
      <c r="M8" s="21">
        <f t="shared" si="5"/>
        <v>-50158.22361620659</v>
      </c>
      <c r="N8" s="2">
        <v>6</v>
      </c>
      <c r="O8" s="8"/>
      <c r="P8" s="8"/>
      <c r="Q8" s="8"/>
      <c r="R8" s="9"/>
    </row>
    <row r="9" spans="1:18" ht="15">
      <c r="A9" t="s">
        <v>23</v>
      </c>
      <c r="C9" s="25">
        <v>4.5</v>
      </c>
      <c r="D9" s="2">
        <v>7</v>
      </c>
      <c r="E9" s="3"/>
      <c r="F9" s="3"/>
      <c r="G9" s="6">
        <f t="shared" si="2"/>
        <v>27529.973009480545</v>
      </c>
      <c r="H9" s="3">
        <f t="shared" si="3"/>
        <v>3905.179287384</v>
      </c>
      <c r="I9" s="12">
        <f t="shared" si="4"/>
        <v>0</v>
      </c>
      <c r="J9" s="12">
        <f t="shared" si="0"/>
        <v>0</v>
      </c>
      <c r="K9" s="12"/>
      <c r="L9" s="12">
        <f aca="true" t="shared" si="6" ref="L9:L47">+H9-I9+J9</f>
        <v>3905.179287384</v>
      </c>
      <c r="M9" s="21">
        <f t="shared" si="5"/>
        <v>-46253.04432882259</v>
      </c>
      <c r="N9" s="2">
        <v>7</v>
      </c>
      <c r="O9" s="8"/>
      <c r="P9" s="8"/>
      <c r="Q9" s="8"/>
      <c r="R9" s="9"/>
    </row>
    <row r="10" spans="1:17" ht="15">
      <c r="A10" t="s">
        <v>9</v>
      </c>
      <c r="C10" s="29">
        <v>0.1</v>
      </c>
      <c r="D10" s="2">
        <v>8</v>
      </c>
      <c r="E10" s="3"/>
      <c r="F10" s="3"/>
      <c r="G10" s="6">
        <f t="shared" si="2"/>
        <v>27275.32075914285</v>
      </c>
      <c r="H10" s="3">
        <f t="shared" si="3"/>
        <v>4101.199761714241</v>
      </c>
      <c r="I10" s="12">
        <f t="shared" si="4"/>
        <v>0</v>
      </c>
      <c r="J10" s="12">
        <f t="shared" si="0"/>
        <v>0</v>
      </c>
      <c r="K10" s="12"/>
      <c r="L10" s="12">
        <f t="shared" si="6"/>
        <v>4101.199761714241</v>
      </c>
      <c r="M10" s="21">
        <f t="shared" si="5"/>
        <v>-42151.84456710835</v>
      </c>
      <c r="N10" s="2">
        <v>8</v>
      </c>
      <c r="O10" s="8"/>
      <c r="P10" s="8"/>
      <c r="Q10" s="8"/>
    </row>
    <row r="11" spans="1:17" ht="15">
      <c r="A11" t="s">
        <v>10</v>
      </c>
      <c r="C11" s="26">
        <v>0.06</v>
      </c>
      <c r="D11" s="2">
        <v>9</v>
      </c>
      <c r="E11" s="3"/>
      <c r="F11" s="3"/>
      <c r="G11" s="6">
        <f t="shared" si="2"/>
        <v>27023.02404212078</v>
      </c>
      <c r="H11" s="3">
        <f t="shared" si="3"/>
        <v>4307.059483753487</v>
      </c>
      <c r="I11" s="12">
        <f t="shared" si="4"/>
        <v>0</v>
      </c>
      <c r="J11" s="12">
        <f t="shared" si="0"/>
        <v>0</v>
      </c>
      <c r="K11" s="12"/>
      <c r="L11" s="12">
        <f t="shared" si="6"/>
        <v>4307.059483753487</v>
      </c>
      <c r="M11" s="21">
        <f t="shared" si="5"/>
        <v>-37844.78508335486</v>
      </c>
      <c r="N11" s="2">
        <v>9</v>
      </c>
      <c r="O11" s="8"/>
      <c r="P11" s="8"/>
      <c r="Q11" s="8"/>
    </row>
    <row r="12" spans="1:17" ht="15">
      <c r="A12" t="s">
        <v>32</v>
      </c>
      <c r="C12" s="25">
        <v>1</v>
      </c>
      <c r="D12" s="2">
        <v>10</v>
      </c>
      <c r="E12" s="3"/>
      <c r="F12" s="3"/>
      <c r="G12" s="6">
        <f t="shared" si="2"/>
        <v>26773.061069731164</v>
      </c>
      <c r="H12" s="3">
        <f t="shared" si="3"/>
        <v>4523.252334540493</v>
      </c>
      <c r="I12" s="12">
        <f t="shared" si="4"/>
        <v>0</v>
      </c>
      <c r="J12" s="12">
        <f t="shared" si="0"/>
        <v>0</v>
      </c>
      <c r="K12" s="12"/>
      <c r="L12" s="12">
        <f t="shared" si="6"/>
        <v>4523.252334540493</v>
      </c>
      <c r="M12" s="21">
        <f t="shared" si="5"/>
        <v>-33321.53274881437</v>
      </c>
      <c r="N12" s="2">
        <v>10</v>
      </c>
      <c r="O12" s="8"/>
      <c r="P12" s="8"/>
      <c r="Q12" s="8"/>
    </row>
    <row r="13" spans="1:17" ht="15">
      <c r="A13" t="s">
        <v>12</v>
      </c>
      <c r="C13" s="27">
        <v>7000</v>
      </c>
      <c r="D13" s="2">
        <v>11</v>
      </c>
      <c r="E13" s="3"/>
      <c r="F13" s="3"/>
      <c r="G13" s="6">
        <f t="shared" si="2"/>
        <v>26525.41025483615</v>
      </c>
      <c r="H13" s="3">
        <f t="shared" si="3"/>
        <v>4750.2969854727535</v>
      </c>
      <c r="I13" s="12">
        <f t="shared" si="4"/>
        <v>0</v>
      </c>
      <c r="J13" s="12">
        <f t="shared" si="0"/>
        <v>0</v>
      </c>
      <c r="K13" s="12"/>
      <c r="L13" s="12">
        <f t="shared" si="6"/>
        <v>4750.2969854727535</v>
      </c>
      <c r="M13" s="21">
        <f t="shared" si="5"/>
        <v>-28571.235763341614</v>
      </c>
      <c r="N13" s="2">
        <v>11</v>
      </c>
      <c r="O13" s="8"/>
      <c r="P13" s="8"/>
      <c r="Q13" s="8"/>
    </row>
    <row r="14" spans="1:17" ht="15">
      <c r="A14" t="s">
        <v>19</v>
      </c>
      <c r="C14" s="26">
        <v>0.3</v>
      </c>
      <c r="D14" s="2">
        <v>12</v>
      </c>
      <c r="E14" s="3"/>
      <c r="F14" s="3"/>
      <c r="G14" s="6">
        <f t="shared" si="2"/>
        <v>26280.05020997892</v>
      </c>
      <c r="H14" s="3">
        <f t="shared" si="3"/>
        <v>4988.73814265856</v>
      </c>
      <c r="I14" s="12">
        <f t="shared" si="4"/>
        <v>0</v>
      </c>
      <c r="J14" s="12">
        <f t="shared" si="0"/>
        <v>0</v>
      </c>
      <c r="K14" s="12"/>
      <c r="L14" s="12">
        <f t="shared" si="6"/>
        <v>4988.73814265856</v>
      </c>
      <c r="M14" s="21">
        <f t="shared" si="5"/>
        <v>-23582.497620683054</v>
      </c>
      <c r="N14" s="2">
        <v>12</v>
      </c>
      <c r="O14" s="8"/>
      <c r="P14" s="8"/>
      <c r="Q14" s="8"/>
    </row>
    <row r="15" spans="1:17" ht="15">
      <c r="A15" t="s">
        <v>21</v>
      </c>
      <c r="C15" s="29">
        <v>0</v>
      </c>
      <c r="D15" s="2">
        <v>13</v>
      </c>
      <c r="E15" s="3"/>
      <c r="F15" s="3"/>
      <c r="G15" s="6">
        <f t="shared" si="2"/>
        <v>26036.959745536613</v>
      </c>
      <c r="H15" s="3">
        <f t="shared" si="3"/>
        <v>5239.147853729306</v>
      </c>
      <c r="I15" s="12">
        <f t="shared" si="4"/>
        <v>0</v>
      </c>
      <c r="J15" s="12">
        <f t="shared" si="0"/>
        <v>0</v>
      </c>
      <c r="K15" s="12"/>
      <c r="L15" s="12">
        <f t="shared" si="6"/>
        <v>5239.147853729306</v>
      </c>
      <c r="M15" s="21">
        <f t="shared" si="5"/>
        <v>-18343.349766953746</v>
      </c>
      <c r="N15" s="2">
        <v>13</v>
      </c>
      <c r="O15" s="8"/>
      <c r="P15" s="8"/>
      <c r="Q15" s="8"/>
    </row>
    <row r="16" spans="1:17" ht="15">
      <c r="A16" t="s">
        <v>35</v>
      </c>
      <c r="C16" s="26">
        <v>0.2</v>
      </c>
      <c r="D16" s="2">
        <v>14</v>
      </c>
      <c r="G16" s="6">
        <f t="shared" si="2"/>
        <v>25796.1178678904</v>
      </c>
      <c r="H16" s="3">
        <f t="shared" si="3"/>
        <v>5502.12688024725</v>
      </c>
      <c r="I16" s="12">
        <f t="shared" si="4"/>
        <v>0</v>
      </c>
      <c r="J16" s="12">
        <f t="shared" si="0"/>
        <v>0</v>
      </c>
      <c r="K16" s="12"/>
      <c r="L16" s="12">
        <f t="shared" si="6"/>
        <v>5502.12688024725</v>
      </c>
      <c r="M16" s="21">
        <f t="shared" si="5"/>
        <v>-12841.222886706497</v>
      </c>
      <c r="N16" s="2">
        <v>14</v>
      </c>
      <c r="O16" s="8"/>
      <c r="P16" s="8"/>
      <c r="Q16" s="8"/>
    </row>
    <row r="17" spans="4:17" ht="15">
      <c r="D17" s="2">
        <v>15</v>
      </c>
      <c r="E17" s="3">
        <f>+C13</f>
        <v>7000</v>
      </c>
      <c r="F17" s="3"/>
      <c r="G17" s="6">
        <f t="shared" si="2"/>
        <v>25557.503777612415</v>
      </c>
      <c r="H17" s="3">
        <f t="shared" si="3"/>
        <v>5778.306139001261</v>
      </c>
      <c r="I17" s="12">
        <f t="shared" si="4"/>
        <v>7000</v>
      </c>
      <c r="J17" s="12">
        <f t="shared" si="0"/>
        <v>0</v>
      </c>
      <c r="K17" s="12"/>
      <c r="L17" s="12">
        <f t="shared" si="6"/>
        <v>-1221.6938609987392</v>
      </c>
      <c r="M17" s="21">
        <f t="shared" si="5"/>
        <v>-14062.916747705236</v>
      </c>
      <c r="N17" s="2">
        <v>15</v>
      </c>
      <c r="O17" s="8"/>
      <c r="P17" s="8"/>
      <c r="Q17" s="8"/>
    </row>
    <row r="18" spans="4:17" ht="15">
      <c r="D18" s="2">
        <v>16</v>
      </c>
      <c r="E18" s="3"/>
      <c r="F18" s="3"/>
      <c r="G18" s="6">
        <f t="shared" si="2"/>
        <v>25321.0968676695</v>
      </c>
      <c r="H18" s="3">
        <f t="shared" si="3"/>
        <v>6068.348215648431</v>
      </c>
      <c r="I18" s="12">
        <f t="shared" si="4"/>
        <v>0</v>
      </c>
      <c r="J18" s="12">
        <f t="shared" si="0"/>
        <v>0</v>
      </c>
      <c r="K18" s="12"/>
      <c r="L18" s="12">
        <f t="shared" si="6"/>
        <v>6068.348215648431</v>
      </c>
      <c r="M18" s="21">
        <f t="shared" si="5"/>
        <v>-7994.568532056805</v>
      </c>
      <c r="N18" s="2">
        <v>16</v>
      </c>
      <c r="O18" s="8"/>
      <c r="P18" s="8"/>
      <c r="Q18" s="8"/>
    </row>
    <row r="19" spans="4:17" ht="15">
      <c r="D19" s="2">
        <v>17</v>
      </c>
      <c r="E19" s="3"/>
      <c r="F19" s="3"/>
      <c r="G19" s="6">
        <f t="shared" si="2"/>
        <v>25086.87672164356</v>
      </c>
      <c r="H19" s="3">
        <f t="shared" si="3"/>
        <v>6372.948954332902</v>
      </c>
      <c r="I19" s="12">
        <f t="shared" si="4"/>
        <v>0</v>
      </c>
      <c r="J19" s="12">
        <f t="shared" si="0"/>
        <v>0</v>
      </c>
      <c r="K19" s="12"/>
      <c r="L19" s="12">
        <f t="shared" si="6"/>
        <v>6372.948954332902</v>
      </c>
      <c r="M19" s="21">
        <f t="shared" si="5"/>
        <v>-1621.6195777239036</v>
      </c>
      <c r="N19" s="2">
        <v>17</v>
      </c>
      <c r="O19" s="8"/>
      <c r="P19" s="8"/>
      <c r="Q19" s="8"/>
    </row>
    <row r="20" spans="4:17" ht="15">
      <c r="D20" s="2">
        <v>18</v>
      </c>
      <c r="E20" s="3"/>
      <c r="F20" s="3"/>
      <c r="G20" s="6">
        <f t="shared" si="2"/>
        <v>24854.823111968355</v>
      </c>
      <c r="H20" s="3">
        <f t="shared" si="3"/>
        <v>6692.839127095643</v>
      </c>
      <c r="I20" s="12">
        <f t="shared" si="4"/>
        <v>0</v>
      </c>
      <c r="J20" s="12">
        <f t="shared" si="0"/>
        <v>0</v>
      </c>
      <c r="K20" s="12"/>
      <c r="L20" s="12">
        <f t="shared" si="6"/>
        <v>6692.839127095643</v>
      </c>
      <c r="M20" s="21">
        <f t="shared" si="5"/>
        <v>5071.219549371739</v>
      </c>
      <c r="N20" s="2">
        <v>18</v>
      </c>
      <c r="O20" s="8"/>
      <c r="P20" s="8"/>
      <c r="Q20" s="8"/>
    </row>
    <row r="21" spans="4:17" ht="15">
      <c r="D21" s="2">
        <v>19</v>
      </c>
      <c r="E21" s="3"/>
      <c r="F21" s="3"/>
      <c r="G21" s="6">
        <f t="shared" si="2"/>
        <v>24624.91599818265</v>
      </c>
      <c r="H21" s="3">
        <f t="shared" si="3"/>
        <v>7028.786187080209</v>
      </c>
      <c r="I21" s="12">
        <f t="shared" si="4"/>
        <v>0</v>
      </c>
      <c r="J21" s="12">
        <f t="shared" si="0"/>
        <v>0</v>
      </c>
      <c r="K21" s="12"/>
      <c r="L21" s="12">
        <f t="shared" si="6"/>
        <v>7028.786187080209</v>
      </c>
      <c r="M21" s="21">
        <f t="shared" si="5"/>
        <v>12100.005736451949</v>
      </c>
      <c r="N21" s="2">
        <v>19</v>
      </c>
      <c r="O21" s="8"/>
      <c r="P21" s="8"/>
      <c r="Q21" s="8"/>
    </row>
    <row r="22" spans="1:17" ht="15">
      <c r="A22" t="s">
        <v>2</v>
      </c>
      <c r="D22" s="2">
        <v>20</v>
      </c>
      <c r="E22" s="3"/>
      <c r="F22" s="3"/>
      <c r="G22" s="6">
        <f t="shared" si="2"/>
        <v>24397.13552519946</v>
      </c>
      <c r="H22" s="3">
        <f t="shared" si="3"/>
        <v>7381.5961097407</v>
      </c>
      <c r="I22" s="12">
        <f t="shared" si="4"/>
        <v>0</v>
      </c>
      <c r="J22" s="12">
        <f t="shared" si="0"/>
        <v>0</v>
      </c>
      <c r="K22" s="12"/>
      <c r="L22" s="12">
        <f t="shared" si="6"/>
        <v>7381.5961097407</v>
      </c>
      <c r="M22" s="21">
        <f t="shared" si="5"/>
        <v>19481.60184619265</v>
      </c>
      <c r="N22" s="2">
        <v>20</v>
      </c>
      <c r="O22" s="8"/>
      <c r="P22" s="8"/>
      <c r="Q22" s="8"/>
    </row>
    <row r="23" spans="1:17" ht="15">
      <c r="A23" t="s">
        <v>29</v>
      </c>
      <c r="D23" s="2">
        <v>21</v>
      </c>
      <c r="E23" s="3"/>
      <c r="F23" s="3"/>
      <c r="G23" s="6">
        <f t="shared" si="2"/>
        <v>24171.462021591367</v>
      </c>
      <c r="H23" s="3">
        <f t="shared" si="3"/>
        <v>7752.115326469136</v>
      </c>
      <c r="I23" s="12">
        <f t="shared" si="4"/>
        <v>0</v>
      </c>
      <c r="J23" s="12">
        <f t="shared" si="0"/>
        <v>0</v>
      </c>
      <c r="K23" s="12"/>
      <c r="L23" s="12">
        <f t="shared" si="6"/>
        <v>7752.115326469136</v>
      </c>
      <c r="M23" s="21">
        <f t="shared" si="5"/>
        <v>27233.717172661785</v>
      </c>
      <c r="N23" s="2">
        <v>21</v>
      </c>
      <c r="O23" s="8"/>
      <c r="P23" s="8"/>
      <c r="Q23" s="8"/>
    </row>
    <row r="24" spans="1:17" ht="15">
      <c r="A24" t="s">
        <v>28</v>
      </c>
      <c r="C24" s="23">
        <v>0.00925</v>
      </c>
      <c r="D24" s="2">
        <v>22</v>
      </c>
      <c r="E24" s="5"/>
      <c r="F24" s="5"/>
      <c r="G24" s="6">
        <f t="shared" si="2"/>
        <v>23947.875997891646</v>
      </c>
      <c r="H24" s="3">
        <f t="shared" si="3"/>
        <v>8141.232755281255</v>
      </c>
      <c r="I24" s="12">
        <f t="shared" si="4"/>
        <v>0</v>
      </c>
      <c r="J24" s="12">
        <f t="shared" si="0"/>
        <v>0</v>
      </c>
      <c r="K24" s="12"/>
      <c r="L24" s="12">
        <f t="shared" si="6"/>
        <v>8141.232755281255</v>
      </c>
      <c r="M24" s="21">
        <f t="shared" si="5"/>
        <v>35374.94992794304</v>
      </c>
      <c r="N24" s="2">
        <v>22</v>
      </c>
      <c r="O24" s="8"/>
      <c r="P24" s="8"/>
      <c r="Q24" s="8"/>
    </row>
    <row r="25" spans="1:17" ht="15">
      <c r="A25" t="s">
        <v>3</v>
      </c>
      <c r="D25" s="2">
        <v>23</v>
      </c>
      <c r="E25" s="5"/>
      <c r="F25" s="5"/>
      <c r="G25" s="6">
        <f t="shared" si="2"/>
        <v>23726.358144911148</v>
      </c>
      <c r="H25" s="3">
        <f t="shared" si="3"/>
        <v>8549.881933432598</v>
      </c>
      <c r="I25" s="12">
        <f t="shared" si="4"/>
        <v>0</v>
      </c>
      <c r="J25" s="12">
        <f t="shared" si="0"/>
        <v>0</v>
      </c>
      <c r="K25" s="12"/>
      <c r="L25" s="12">
        <f t="shared" si="6"/>
        <v>8549.881933432598</v>
      </c>
      <c r="M25" s="21">
        <f t="shared" si="5"/>
        <v>43924.831861375635</v>
      </c>
      <c r="N25" s="2">
        <v>23</v>
      </c>
      <c r="O25" s="8"/>
      <c r="P25" s="8"/>
      <c r="Q25" s="8"/>
    </row>
    <row r="26" spans="1:17" ht="15">
      <c r="A26" t="s">
        <v>4</v>
      </c>
      <c r="D26" s="2">
        <v>24</v>
      </c>
      <c r="E26" s="5"/>
      <c r="F26" s="5"/>
      <c r="G26" s="6">
        <f t="shared" si="2"/>
        <v>23506.88933207072</v>
      </c>
      <c r="H26" s="3">
        <f t="shared" si="3"/>
        <v>8979.04325708125</v>
      </c>
      <c r="I26" s="12">
        <f t="shared" si="4"/>
        <v>0</v>
      </c>
      <c r="J26" s="12">
        <f t="shared" si="0"/>
        <v>0</v>
      </c>
      <c r="K26" s="12"/>
      <c r="L26" s="12">
        <f t="shared" si="6"/>
        <v>8979.04325708125</v>
      </c>
      <c r="M26" s="21">
        <f t="shared" si="5"/>
        <v>52903.87511845688</v>
      </c>
      <c r="N26" s="2">
        <v>24</v>
      </c>
      <c r="O26" s="8"/>
      <c r="P26" s="8"/>
      <c r="Q26" s="8"/>
    </row>
    <row r="27" spans="1:17" ht="15">
      <c r="A27" t="s">
        <v>5</v>
      </c>
      <c r="D27" s="2">
        <v>25</v>
      </c>
      <c r="E27" s="5"/>
      <c r="F27" s="5"/>
      <c r="G27" s="6">
        <f t="shared" si="2"/>
        <v>23289.45060574907</v>
      </c>
      <c r="H27" s="3">
        <f t="shared" si="3"/>
        <v>9429.746333370442</v>
      </c>
      <c r="I27" s="12">
        <f t="shared" si="4"/>
        <v>0</v>
      </c>
      <c r="J27" s="12">
        <f t="shared" si="0"/>
        <v>0</v>
      </c>
      <c r="K27" s="12"/>
      <c r="L27" s="12">
        <f t="shared" si="6"/>
        <v>9429.746333370442</v>
      </c>
      <c r="M27" s="21">
        <f t="shared" si="5"/>
        <v>62333.62145182733</v>
      </c>
      <c r="N27" s="2">
        <v>25</v>
      </c>
      <c r="O27" s="8"/>
      <c r="P27" s="8"/>
      <c r="Q27" s="8"/>
    </row>
    <row r="28" spans="1:17" ht="15">
      <c r="A28" t="s">
        <v>6</v>
      </c>
      <c r="D28" s="2">
        <v>26</v>
      </c>
      <c r="E28" s="5"/>
      <c r="F28" s="5"/>
      <c r="G28" s="6">
        <f t="shared" si="2"/>
        <v>23074.02318764589</v>
      </c>
      <c r="H28" s="3">
        <f t="shared" si="3"/>
        <v>9903.072450573969</v>
      </c>
      <c r="I28" s="12">
        <f t="shared" si="4"/>
        <v>0</v>
      </c>
      <c r="J28" s="12">
        <f t="shared" si="0"/>
        <v>0</v>
      </c>
      <c r="K28" s="12"/>
      <c r="L28" s="12">
        <f t="shared" si="6"/>
        <v>9903.072450573969</v>
      </c>
      <c r="M28" s="21">
        <f t="shared" si="5"/>
        <v>72236.6939024013</v>
      </c>
      <c r="N28" s="2">
        <v>26</v>
      </c>
      <c r="O28" s="8"/>
      <c r="P28" s="8"/>
      <c r="Q28" s="8"/>
    </row>
    <row r="29" spans="4:14" ht="15">
      <c r="D29" s="2">
        <v>27</v>
      </c>
      <c r="E29" s="5"/>
      <c r="F29" s="5"/>
      <c r="G29" s="6">
        <f t="shared" si="2"/>
        <v>22860.588473160165</v>
      </c>
      <c r="H29" s="3">
        <f t="shared" si="3"/>
        <v>10400.15717223053</v>
      </c>
      <c r="I29" s="12">
        <f t="shared" si="4"/>
        <v>0</v>
      </c>
      <c r="J29" s="12">
        <f t="shared" si="0"/>
        <v>0</v>
      </c>
      <c r="K29" s="12"/>
      <c r="L29" s="12">
        <f t="shared" si="6"/>
        <v>10400.15717223053</v>
      </c>
      <c r="M29" s="21">
        <f t="shared" si="5"/>
        <v>82636.85107463182</v>
      </c>
      <c r="N29" s="2">
        <v>27</v>
      </c>
    </row>
    <row r="30" spans="1:14" ht="15">
      <c r="A30" s="22" t="s">
        <v>34</v>
      </c>
      <c r="D30" s="2">
        <v>28</v>
      </c>
      <c r="E30" s="5"/>
      <c r="F30" s="5"/>
      <c r="G30" s="6">
        <f t="shared" si="2"/>
        <v>22649.128029783435</v>
      </c>
      <c r="H30" s="3">
        <f t="shared" si="3"/>
        <v>10922.193061490647</v>
      </c>
      <c r="I30" s="12">
        <f t="shared" si="4"/>
        <v>0</v>
      </c>
      <c r="J30" s="12">
        <f t="shared" si="0"/>
        <v>0</v>
      </c>
      <c r="K30" s="12"/>
      <c r="L30" s="12">
        <f t="shared" si="6"/>
        <v>10922.193061490647</v>
      </c>
      <c r="M30" s="21">
        <f t="shared" si="5"/>
        <v>93559.04413612247</v>
      </c>
      <c r="N30" s="2">
        <v>28</v>
      </c>
    </row>
    <row r="31" spans="4:14" ht="15">
      <c r="D31" s="2">
        <v>29</v>
      </c>
      <c r="E31" s="5"/>
      <c r="F31" s="5"/>
      <c r="G31" s="6">
        <f t="shared" si="2"/>
        <v>22439.62359550794</v>
      </c>
      <c r="H31" s="3">
        <f t="shared" si="3"/>
        <v>11470.432542212171</v>
      </c>
      <c r="I31" s="12">
        <f t="shared" si="4"/>
        <v>0</v>
      </c>
      <c r="J31" s="12">
        <f t="shared" si="0"/>
        <v>0</v>
      </c>
      <c r="K31" s="12"/>
      <c r="L31" s="12">
        <f t="shared" si="6"/>
        <v>11470.432542212171</v>
      </c>
      <c r="M31" s="21">
        <f t="shared" si="5"/>
        <v>105029.47667833464</v>
      </c>
      <c r="N31" s="2">
        <v>29</v>
      </c>
    </row>
    <row r="32" spans="4:14" ht="15">
      <c r="D32" s="2">
        <v>30</v>
      </c>
      <c r="E32" s="5">
        <f>+C13</f>
        <v>7000</v>
      </c>
      <c r="F32" s="5"/>
      <c r="G32" s="6">
        <f t="shared" si="2"/>
        <v>22232.05707724949</v>
      </c>
      <c r="H32" s="3">
        <f t="shared" si="3"/>
        <v>12046.19090366851</v>
      </c>
      <c r="I32" s="12">
        <f t="shared" si="4"/>
        <v>7000</v>
      </c>
      <c r="J32" s="12">
        <f t="shared" si="0"/>
        <v>0</v>
      </c>
      <c r="K32" s="12"/>
      <c r="L32" s="12">
        <f t="shared" si="6"/>
        <v>5046.19090366851</v>
      </c>
      <c r="M32" s="21">
        <f t="shared" si="5"/>
        <v>110075.66758200315</v>
      </c>
      <c r="N32" s="2">
        <v>30</v>
      </c>
    </row>
    <row r="33" spans="4:14" ht="15">
      <c r="D33" s="2">
        <v>31</v>
      </c>
      <c r="G33" s="6">
        <f t="shared" si="2"/>
        <v>22026.410549284934</v>
      </c>
      <c r="H33" s="3">
        <f t="shared" si="3"/>
        <v>12650.849456078151</v>
      </c>
      <c r="I33" s="12">
        <f t="shared" si="4"/>
        <v>0</v>
      </c>
      <c r="J33" s="12">
        <f t="shared" si="0"/>
        <v>0</v>
      </c>
      <c r="K33" s="12"/>
      <c r="L33" s="12">
        <f t="shared" si="6"/>
        <v>12650.849456078151</v>
      </c>
      <c r="M33" s="21">
        <f t="shared" si="5"/>
        <v>122726.5170380813</v>
      </c>
      <c r="N33" s="2">
        <v>31</v>
      </c>
    </row>
    <row r="34" spans="4:14" ht="15">
      <c r="D34" s="2">
        <v>32</v>
      </c>
      <c r="E34" s="5"/>
      <c r="F34" s="5"/>
      <c r="G34" s="6">
        <f t="shared" si="2"/>
        <v>21822.66625170405</v>
      </c>
      <c r="H34" s="3">
        <f t="shared" si="3"/>
        <v>13285.858844525997</v>
      </c>
      <c r="I34" s="12">
        <f t="shared" si="4"/>
        <v>0</v>
      </c>
      <c r="J34" s="12">
        <f t="shared" si="0"/>
        <v>0</v>
      </c>
      <c r="K34" s="12"/>
      <c r="L34" s="12">
        <f t="shared" si="6"/>
        <v>13285.858844525997</v>
      </c>
      <c r="M34" s="21">
        <f t="shared" si="5"/>
        <v>136012.3758826073</v>
      </c>
      <c r="N34" s="2">
        <v>32</v>
      </c>
    </row>
    <row r="35" spans="4:14" ht="15">
      <c r="D35" s="2">
        <v>33</v>
      </c>
      <c r="E35" s="5"/>
      <c r="F35" s="5"/>
      <c r="G35" s="6">
        <f t="shared" si="2"/>
        <v>21620.80658887579</v>
      </c>
      <c r="H35" s="3">
        <f t="shared" si="3"/>
        <v>13952.74252922698</v>
      </c>
      <c r="I35" s="12">
        <f t="shared" si="4"/>
        <v>0</v>
      </c>
      <c r="J35" s="12">
        <f t="shared" si="0"/>
        <v>0</v>
      </c>
      <c r="K35" s="12"/>
      <c r="L35" s="12">
        <f t="shared" si="6"/>
        <v>13952.74252922698</v>
      </c>
      <c r="M35" s="21">
        <f t="shared" si="5"/>
        <v>149965.1184118343</v>
      </c>
      <c r="N35" s="2">
        <v>33</v>
      </c>
    </row>
    <row r="36" spans="4:14" ht="15">
      <c r="D36" s="2">
        <v>34</v>
      </c>
      <c r="E36" s="5"/>
      <c r="F36" s="5"/>
      <c r="G36" s="6">
        <f t="shared" si="2"/>
        <v>21420.814127928687</v>
      </c>
      <c r="H36" s="3">
        <f t="shared" si="3"/>
        <v>14653.100440481528</v>
      </c>
      <c r="I36" s="12">
        <f t="shared" si="4"/>
        <v>0</v>
      </c>
      <c r="J36" s="12">
        <f t="shared" si="0"/>
        <v>0</v>
      </c>
      <c r="K36" s="12"/>
      <c r="L36" s="12">
        <f t="shared" si="6"/>
        <v>14653.100440481528</v>
      </c>
      <c r="M36" s="21">
        <f t="shared" si="5"/>
        <v>164618.21885231583</v>
      </c>
      <c r="N36" s="2">
        <v>34</v>
      </c>
    </row>
    <row r="37" spans="4:14" ht="15">
      <c r="D37" s="2">
        <v>35</v>
      </c>
      <c r="E37" s="5"/>
      <c r="F37" s="5"/>
      <c r="G37" s="6">
        <f t="shared" si="2"/>
        <v>21222.671597245346</v>
      </c>
      <c r="H37" s="3">
        <f t="shared" si="3"/>
        <v>15388.6128170915</v>
      </c>
      <c r="I37" s="12">
        <f t="shared" si="4"/>
        <v>0</v>
      </c>
      <c r="J37" s="12">
        <f t="shared" si="0"/>
        <v>0</v>
      </c>
      <c r="K37" s="12"/>
      <c r="L37" s="12">
        <f t="shared" si="6"/>
        <v>15388.6128170915</v>
      </c>
      <c r="M37" s="21">
        <f t="shared" si="5"/>
        <v>180006.83166940731</v>
      </c>
      <c r="N37" s="2">
        <v>35</v>
      </c>
    </row>
    <row r="38" spans="4:14" ht="15">
      <c r="D38" s="2">
        <v>36</v>
      </c>
      <c r="E38" s="3"/>
      <c r="F38" s="3"/>
      <c r="G38" s="6">
        <f t="shared" si="2"/>
        <v>21026.361884970825</v>
      </c>
      <c r="H38" s="3">
        <f t="shared" si="3"/>
        <v>16161.044237445407</v>
      </c>
      <c r="I38" s="12">
        <f t="shared" si="4"/>
        <v>0</v>
      </c>
      <c r="J38" s="12">
        <f t="shared" si="0"/>
        <v>0</v>
      </c>
      <c r="K38" s="12"/>
      <c r="L38" s="12">
        <f t="shared" si="6"/>
        <v>16161.044237445407</v>
      </c>
      <c r="M38" s="21">
        <f t="shared" si="5"/>
        <v>196167.8759068527</v>
      </c>
      <c r="N38" s="2">
        <v>36</v>
      </c>
    </row>
    <row r="39" spans="4:14" ht="15">
      <c r="D39" s="2">
        <v>37</v>
      </c>
      <c r="E39" s="3"/>
      <c r="F39" s="3"/>
      <c r="G39" s="6">
        <f t="shared" si="2"/>
        <v>20831.868037534845</v>
      </c>
      <c r="H39" s="3">
        <f t="shared" si="3"/>
        <v>16972.24785294398</v>
      </c>
      <c r="I39" s="12">
        <f t="shared" si="4"/>
        <v>0</v>
      </c>
      <c r="J39" s="12">
        <f t="shared" si="0"/>
        <v>0</v>
      </c>
      <c r="K39" s="12"/>
      <c r="L39" s="12">
        <f t="shared" si="6"/>
        <v>16972.24785294398</v>
      </c>
      <c r="M39" s="21">
        <f t="shared" si="5"/>
        <v>213140.1237597967</v>
      </c>
      <c r="N39" s="2">
        <v>37</v>
      </c>
    </row>
    <row r="40" spans="4:14" ht="15">
      <c r="D40" s="2">
        <v>38</v>
      </c>
      <c r="E40" s="3"/>
      <c r="F40" s="3"/>
      <c r="G40" s="6">
        <f t="shared" si="2"/>
        <v>20639.17325818765</v>
      </c>
      <c r="H40" s="3">
        <f t="shared" si="3"/>
        <v>17824.169833922508</v>
      </c>
      <c r="I40" s="12">
        <f t="shared" si="4"/>
        <v>0</v>
      </c>
      <c r="J40" s="12">
        <f t="shared" si="0"/>
        <v>0</v>
      </c>
      <c r="K40" s="12"/>
      <c r="L40" s="12">
        <f t="shared" si="6"/>
        <v>17824.169833922508</v>
      </c>
      <c r="M40" s="21">
        <f t="shared" si="5"/>
        <v>230964.2935937192</v>
      </c>
      <c r="N40" s="2">
        <v>38</v>
      </c>
    </row>
    <row r="41" spans="4:14" ht="15">
      <c r="D41" s="2">
        <v>39</v>
      </c>
      <c r="E41" s="3"/>
      <c r="F41" s="3"/>
      <c r="G41" s="6">
        <f t="shared" si="2"/>
        <v>20448.260905549414</v>
      </c>
      <c r="H41" s="3">
        <f t="shared" si="3"/>
        <v>18718.85403873625</v>
      </c>
      <c r="I41" s="12">
        <f t="shared" si="4"/>
        <v>0</v>
      </c>
      <c r="J41" s="12">
        <f t="shared" si="0"/>
        <v>0</v>
      </c>
      <c r="K41" s="12"/>
      <c r="L41" s="12">
        <f t="shared" si="6"/>
        <v>18718.85403873625</v>
      </c>
      <c r="M41" s="21">
        <f t="shared" si="5"/>
        <v>249683.14763245545</v>
      </c>
      <c r="N41" s="2">
        <v>39</v>
      </c>
    </row>
    <row r="42" spans="4:14" ht="15">
      <c r="D42" s="2">
        <v>40</v>
      </c>
      <c r="E42" s="3"/>
      <c r="F42" s="3"/>
      <c r="G42" s="6">
        <f t="shared" si="2"/>
        <v>20259.11449217308</v>
      </c>
      <c r="H42" s="3">
        <f t="shared" si="3"/>
        <v>19658.44691721062</v>
      </c>
      <c r="I42" s="12">
        <f t="shared" si="4"/>
        <v>0</v>
      </c>
      <c r="J42" s="12">
        <f t="shared" si="0"/>
        <v>0</v>
      </c>
      <c r="K42" s="12"/>
      <c r="L42" s="12">
        <f t="shared" si="6"/>
        <v>19658.44691721062</v>
      </c>
      <c r="M42" s="21">
        <f t="shared" si="5"/>
        <v>269341.59454966604</v>
      </c>
      <c r="N42" s="2">
        <v>40</v>
      </c>
    </row>
    <row r="43" spans="4:14" ht="15">
      <c r="D43" s="2">
        <v>41</v>
      </c>
      <c r="E43" s="3"/>
      <c r="F43" s="3"/>
      <c r="G43" s="6">
        <f t="shared" si="2"/>
        <v>20071.71768312048</v>
      </c>
      <c r="H43" s="3">
        <f t="shared" si="3"/>
        <v>20645.202660220002</v>
      </c>
      <c r="I43" s="12">
        <f t="shared" si="4"/>
        <v>0</v>
      </c>
      <c r="J43" s="12">
        <f t="shared" si="0"/>
        <v>0</v>
      </c>
      <c r="K43" s="12"/>
      <c r="L43" s="12">
        <f t="shared" si="6"/>
        <v>20645.202660220002</v>
      </c>
      <c r="M43" s="21">
        <f t="shared" si="5"/>
        <v>289986.797209886</v>
      </c>
      <c r="N43" s="2">
        <v>41</v>
      </c>
    </row>
    <row r="44" spans="4:14" ht="15">
      <c r="D44" s="2">
        <v>42</v>
      </c>
      <c r="E44" s="3"/>
      <c r="F44" s="3"/>
      <c r="G44" s="6">
        <f t="shared" si="2"/>
        <v>19886.054294551617</v>
      </c>
      <c r="H44" s="3">
        <f t="shared" si="3"/>
        <v>21681.488607749743</v>
      </c>
      <c r="I44" s="12">
        <f t="shared" si="4"/>
        <v>0</v>
      </c>
      <c r="J44" s="12">
        <f t="shared" si="0"/>
        <v>0</v>
      </c>
      <c r="K44" s="12"/>
      <c r="L44" s="12">
        <f t="shared" si="6"/>
        <v>21681.488607749743</v>
      </c>
      <c r="M44" s="21">
        <f t="shared" si="5"/>
        <v>311668.28581763577</v>
      </c>
      <c r="N44" s="2">
        <v>42</v>
      </c>
    </row>
    <row r="45" spans="4:14" ht="15">
      <c r="D45" s="2">
        <v>43</v>
      </c>
      <c r="E45" s="3"/>
      <c r="F45" s="3"/>
      <c r="G45" s="6">
        <f t="shared" si="2"/>
        <v>19702.108292327015</v>
      </c>
      <c r="H45" s="3">
        <f t="shared" si="3"/>
        <v>22769.790928415747</v>
      </c>
      <c r="I45" s="12">
        <f t="shared" si="4"/>
        <v>0</v>
      </c>
      <c r="J45" s="12">
        <f t="shared" si="0"/>
        <v>0</v>
      </c>
      <c r="K45" s="12"/>
      <c r="L45" s="12">
        <f t="shared" si="6"/>
        <v>22769.790928415747</v>
      </c>
      <c r="M45" s="21">
        <f t="shared" si="5"/>
        <v>334438.0767460515</v>
      </c>
      <c r="N45" s="2">
        <v>43</v>
      </c>
    </row>
    <row r="46" spans="4:14" ht="15">
      <c r="D46" s="2">
        <v>44</v>
      </c>
      <c r="E46" s="3"/>
      <c r="F46" s="3"/>
      <c r="G46" s="6">
        <f t="shared" si="2"/>
        <v>19519.863790622992</v>
      </c>
      <c r="H46" s="3">
        <f t="shared" si="3"/>
        <v>23912.72058406758</v>
      </c>
      <c r="I46" s="12">
        <f t="shared" si="4"/>
        <v>0</v>
      </c>
      <c r="J46" s="12">
        <f t="shared" si="0"/>
        <v>0</v>
      </c>
      <c r="K46" s="12"/>
      <c r="L46" s="12">
        <f t="shared" si="6"/>
        <v>23912.72058406758</v>
      </c>
      <c r="M46" s="21">
        <f t="shared" si="5"/>
        <v>358350.79733011907</v>
      </c>
      <c r="N46" s="2">
        <v>44</v>
      </c>
    </row>
    <row r="47" spans="4:14" ht="15">
      <c r="D47" s="2">
        <v>45</v>
      </c>
      <c r="G47" s="6">
        <f t="shared" si="2"/>
        <v>19339.30505055973</v>
      </c>
      <c r="H47" s="3">
        <f t="shared" si="3"/>
        <v>25113.01959378486</v>
      </c>
      <c r="I47" s="12">
        <f t="shared" si="4"/>
        <v>0</v>
      </c>
      <c r="J47" s="12">
        <f t="shared" si="0"/>
        <v>0</v>
      </c>
      <c r="K47" s="12"/>
      <c r="L47" s="12">
        <f t="shared" si="6"/>
        <v>25113.01959378486</v>
      </c>
      <c r="M47" s="21">
        <f t="shared" si="5"/>
        <v>383463.81692390394</v>
      </c>
      <c r="N47" s="2">
        <v>45</v>
      </c>
    </row>
    <row r="48" spans="11:12" ht="15">
      <c r="K48" s="18" t="s">
        <v>25</v>
      </c>
      <c r="L48" s="20">
        <f>+SUM(L3:L47)</f>
        <v>383463.81692390394</v>
      </c>
    </row>
  </sheetData>
  <sheetProtection sheet="1" objects="1" scenarios="1" selectLockedCells="1"/>
  <hyperlinks>
    <hyperlink ref="O1" r:id="rId1" display="http://www.nrel.gov/rredc/pvwatts/changing_parameters.html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David Roper</dc:creator>
  <cp:keywords/>
  <dc:description/>
  <cp:lastModifiedBy>L. David Roper</cp:lastModifiedBy>
  <cp:lastPrinted>2011-02-24T12:11:52Z</cp:lastPrinted>
  <dcterms:created xsi:type="dcterms:W3CDTF">2011-02-11T14:26:19Z</dcterms:created>
  <dcterms:modified xsi:type="dcterms:W3CDTF">2011-03-20T23:28:12Z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